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en.batir\Desktop\"/>
    </mc:Choice>
  </mc:AlternateContent>
  <bookViews>
    <workbookView xWindow="-120" yWindow="-120" windowWidth="20730" windowHeight="11160" firstSheet="5" activeTab="9"/>
  </bookViews>
  <sheets>
    <sheet name="BAŞLANGIÇ SAYFASI" sheetId="11" r:id="rId1"/>
    <sheet name="VENTİLATÖR" sheetId="3" r:id="rId2"/>
    <sheet name="YD VENTİLATÖR" sheetId="12" r:id="rId3"/>
    <sheet name="SANTRAL KATETER" sheetId="4" r:id="rId4"/>
    <sheet name="YD SANTRAL KATETER" sheetId="14" r:id="rId5"/>
    <sheet name="ÜRİNER KATETER" sheetId="5" r:id="rId6"/>
    <sheet name="KURUMSAL" sheetId="6" r:id="rId7"/>
    <sheet name="DÖNEM GRAFİK" sheetId="8" r:id="rId8"/>
    <sheet name="YIL GRAFİK" sheetId="9" r:id="rId9"/>
    <sheet name="YBÜ GRAFİK"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 i="14" l="1"/>
  <c r="G1" i="12"/>
  <c r="H1" i="12" s="1"/>
  <c r="I1" i="12" s="1"/>
  <c r="J1" i="12" s="1"/>
  <c r="C34" i="12"/>
  <c r="C34" i="14"/>
  <c r="H1" i="14"/>
  <c r="I1" i="14"/>
  <c r="J1" i="14"/>
  <c r="C32" i="12"/>
  <c r="C32" i="14"/>
  <c r="C33" i="14"/>
  <c r="C31" i="14"/>
  <c r="C29" i="14"/>
  <c r="C27" i="14"/>
  <c r="C25" i="14"/>
  <c r="G11" i="14"/>
  <c r="G10" i="14"/>
  <c r="J6" i="14"/>
  <c r="I6" i="14"/>
  <c r="G5" i="14"/>
  <c r="G4" i="14"/>
  <c r="E3" i="14"/>
  <c r="E4" i="14"/>
  <c r="L1" i="14"/>
  <c r="W1" i="14"/>
  <c r="X1" i="14"/>
  <c r="T1" i="14"/>
  <c r="U1" i="14"/>
  <c r="V1" i="14"/>
  <c r="Y1" i="14"/>
  <c r="Z1" i="14"/>
  <c r="AB1" i="14"/>
  <c r="E3" i="12"/>
  <c r="E4" i="12" s="1"/>
  <c r="C33" i="12"/>
  <c r="C27" i="12"/>
  <c r="C29" i="12"/>
  <c r="C31" i="12"/>
  <c r="C25" i="12"/>
  <c r="G11" i="12"/>
  <c r="G10" i="12"/>
  <c r="J6" i="12"/>
  <c r="I6" i="12"/>
  <c r="G5" i="12"/>
  <c r="G4" i="12"/>
  <c r="L1" i="12"/>
  <c r="AB1" i="12"/>
  <c r="AF1" i="12" s="1"/>
  <c r="AG1" i="12" s="1"/>
  <c r="D12" i="10"/>
  <c r="BY42" i="10"/>
  <c r="BW42" i="10"/>
  <c r="BX42" i="10"/>
  <c r="BZ42" i="10"/>
  <c r="CA42" i="10"/>
  <c r="E12" i="10"/>
  <c r="CV18" i="10"/>
  <c r="B10" i="6"/>
  <c r="B11" i="6"/>
  <c r="C2" i="6"/>
  <c r="A10" i="6"/>
  <c r="A11" i="6"/>
  <c r="A12" i="6"/>
  <c r="A14" i="6"/>
  <c r="A15" i="6"/>
  <c r="A16" i="6"/>
  <c r="A17" i="6"/>
  <c r="D2" i="6"/>
  <c r="CI42" i="10"/>
  <c r="CF42" i="10"/>
  <c r="CD42" i="10"/>
  <c r="CE42" i="10"/>
  <c r="CG42" i="10"/>
  <c r="CH42" i="10"/>
  <c r="F12" i="10"/>
  <c r="CW18" i="10"/>
  <c r="CI41" i="10"/>
  <c r="CF41" i="10"/>
  <c r="CD41" i="10"/>
  <c r="CE41" i="10"/>
  <c r="BY41" i="10"/>
  <c r="BW41" i="10"/>
  <c r="BX41" i="10"/>
  <c r="BZ41" i="10"/>
  <c r="CA41" i="10"/>
  <c r="CI40" i="10"/>
  <c r="CF40" i="10"/>
  <c r="CD40" i="10"/>
  <c r="CE40" i="10"/>
  <c r="BY40" i="10"/>
  <c r="BZ40" i="10"/>
  <c r="CA40" i="10"/>
  <c r="E10" i="10"/>
  <c r="CV16" i="10"/>
  <c r="BW40" i="10"/>
  <c r="BX40" i="10"/>
  <c r="CI39" i="10"/>
  <c r="CF39" i="10"/>
  <c r="CD39" i="10"/>
  <c r="CE39" i="10"/>
  <c r="BY39" i="10"/>
  <c r="BW39" i="10"/>
  <c r="BX39" i="10"/>
  <c r="BZ39" i="10"/>
  <c r="CA39" i="10"/>
  <c r="E9" i="10"/>
  <c r="CV15" i="10"/>
  <c r="CI38" i="10"/>
  <c r="CF38" i="10"/>
  <c r="CD38" i="10"/>
  <c r="CE38" i="10"/>
  <c r="CG38" i="10"/>
  <c r="CH38" i="10"/>
  <c r="F8" i="10"/>
  <c r="CW14" i="10"/>
  <c r="BY38" i="10"/>
  <c r="BW38" i="10"/>
  <c r="BX38" i="10"/>
  <c r="CI37" i="10"/>
  <c r="CF37" i="10"/>
  <c r="CD37" i="10"/>
  <c r="CE37" i="10"/>
  <c r="CG37" i="10"/>
  <c r="BY37" i="10"/>
  <c r="BW37" i="10"/>
  <c r="BX37" i="10"/>
  <c r="BZ37" i="10"/>
  <c r="CA37" i="10"/>
  <c r="CI36" i="10"/>
  <c r="CF36" i="10"/>
  <c r="CD36" i="10"/>
  <c r="CE36" i="10"/>
  <c r="BY36" i="10"/>
  <c r="BW36" i="10"/>
  <c r="BX36" i="10"/>
  <c r="CI35" i="10"/>
  <c r="F5" i="10"/>
  <c r="CW11" i="10"/>
  <c r="CF35" i="10"/>
  <c r="CD35" i="10"/>
  <c r="CE35" i="10"/>
  <c r="CG35" i="10"/>
  <c r="BY35" i="10"/>
  <c r="BW35" i="10"/>
  <c r="BX35" i="10"/>
  <c r="CI34" i="10"/>
  <c r="CF34" i="10"/>
  <c r="CD34" i="10"/>
  <c r="CE34" i="10"/>
  <c r="CG34" i="10"/>
  <c r="CH34" i="10"/>
  <c r="F4" i="10"/>
  <c r="CW10" i="10"/>
  <c r="BY34" i="10"/>
  <c r="BW34" i="10"/>
  <c r="BX34" i="10"/>
  <c r="BZ34" i="10"/>
  <c r="CI33" i="10"/>
  <c r="CF33" i="10"/>
  <c r="CG33" i="10"/>
  <c r="CH33" i="10"/>
  <c r="F3" i="10"/>
  <c r="CW9" i="10"/>
  <c r="CD33" i="10"/>
  <c r="CE33" i="10"/>
  <c r="BY33" i="10"/>
  <c r="BW33" i="10"/>
  <c r="BX33" i="10"/>
  <c r="D11" i="10"/>
  <c r="D10" i="10"/>
  <c r="D9" i="10"/>
  <c r="D8" i="10"/>
  <c r="D7" i="10"/>
  <c r="E7" i="10"/>
  <c r="CV13" i="10"/>
  <c r="D6" i="10"/>
  <c r="D5" i="10"/>
  <c r="D4" i="10"/>
  <c r="D3" i="10"/>
  <c r="CI42" i="9"/>
  <c r="CF42" i="9"/>
  <c r="CD42" i="9"/>
  <c r="CE42" i="9"/>
  <c r="BY42" i="9"/>
  <c r="BW42" i="9"/>
  <c r="BX42" i="9"/>
  <c r="CI41" i="9"/>
  <c r="CF41" i="9"/>
  <c r="CD41" i="9"/>
  <c r="CE41" i="9"/>
  <c r="CG41" i="9"/>
  <c r="CH41" i="9"/>
  <c r="BY41" i="9"/>
  <c r="BW41" i="9"/>
  <c r="BX41" i="9"/>
  <c r="BZ41" i="9"/>
  <c r="CA41" i="9"/>
  <c r="CI40" i="9"/>
  <c r="CF40" i="9"/>
  <c r="CD40" i="9"/>
  <c r="CE40" i="9"/>
  <c r="BY40" i="9"/>
  <c r="BW40" i="9"/>
  <c r="BX40" i="9"/>
  <c r="BZ40" i="9"/>
  <c r="CA40" i="9"/>
  <c r="CI39" i="9"/>
  <c r="CF39" i="9"/>
  <c r="CD39" i="9"/>
  <c r="CE39" i="9"/>
  <c r="CG39" i="9"/>
  <c r="CH39" i="9"/>
  <c r="BY39" i="9"/>
  <c r="BW39" i="9"/>
  <c r="BX39" i="9"/>
  <c r="CI38" i="9"/>
  <c r="CF38" i="9"/>
  <c r="CG38" i="9"/>
  <c r="CH38" i="9"/>
  <c r="CD38" i="9"/>
  <c r="CE38" i="9"/>
  <c r="BY38" i="9"/>
  <c r="BW38" i="9"/>
  <c r="BX38" i="9"/>
  <c r="BZ38" i="9"/>
  <c r="CA38" i="9"/>
  <c r="CI37" i="9"/>
  <c r="F7" i="9"/>
  <c r="CF37" i="9"/>
  <c r="CD37" i="9"/>
  <c r="CE37" i="9"/>
  <c r="CG37" i="9"/>
  <c r="CH37" i="9"/>
  <c r="BY37" i="9"/>
  <c r="BW37" i="9"/>
  <c r="BX37" i="9"/>
  <c r="BZ37" i="9"/>
  <c r="CA37" i="9"/>
  <c r="CI36" i="9"/>
  <c r="CF36" i="9"/>
  <c r="CD36" i="9"/>
  <c r="CE36" i="9"/>
  <c r="BY36" i="9"/>
  <c r="BW36" i="9"/>
  <c r="BX36" i="9"/>
  <c r="BZ36" i="9"/>
  <c r="CA36" i="9"/>
  <c r="CI35" i="9"/>
  <c r="CF35" i="9"/>
  <c r="CD35" i="9"/>
  <c r="CE35" i="9"/>
  <c r="CG35" i="9"/>
  <c r="BY35" i="9"/>
  <c r="BW35" i="9"/>
  <c r="BX35" i="9"/>
  <c r="BZ35" i="9"/>
  <c r="CA35" i="9"/>
  <c r="E5" i="9"/>
  <c r="CI34" i="9"/>
  <c r="CF34" i="9"/>
  <c r="CG34" i="9"/>
  <c r="CH34" i="9"/>
  <c r="CD34" i="9"/>
  <c r="CE34" i="9"/>
  <c r="BY34" i="9"/>
  <c r="BW34" i="9"/>
  <c r="BX34" i="9"/>
  <c r="BZ34" i="9"/>
  <c r="CA34" i="9"/>
  <c r="E4" i="9"/>
  <c r="CI33" i="9"/>
  <c r="CF33" i="9"/>
  <c r="CG33" i="9"/>
  <c r="CH33" i="9"/>
  <c r="CD33" i="9"/>
  <c r="CE33" i="9"/>
  <c r="BY33" i="9"/>
  <c r="BW33" i="9"/>
  <c r="BX33" i="9"/>
  <c r="D3" i="9"/>
  <c r="CW18" i="9"/>
  <c r="CV18" i="9"/>
  <c r="CW17" i="9"/>
  <c r="CV17" i="9"/>
  <c r="CW16" i="9"/>
  <c r="CV16" i="9"/>
  <c r="CW15" i="9"/>
  <c r="CV15" i="9"/>
  <c r="CW14" i="9"/>
  <c r="CV14" i="9"/>
  <c r="D7" i="9"/>
  <c r="D6" i="9"/>
  <c r="D5" i="9"/>
  <c r="D4" i="9"/>
  <c r="CV10" i="9"/>
  <c r="CI42" i="8"/>
  <c r="CF42" i="8"/>
  <c r="CD42" i="8"/>
  <c r="CE42" i="8"/>
  <c r="CG42" i="8"/>
  <c r="CH42" i="8"/>
  <c r="BY42" i="8"/>
  <c r="BW42" i="8"/>
  <c r="BX42" i="8"/>
  <c r="BZ42" i="8"/>
  <c r="CA42" i="8"/>
  <c r="CI41" i="8"/>
  <c r="CF41" i="8"/>
  <c r="CD41" i="8"/>
  <c r="CE41" i="8"/>
  <c r="BY41" i="8"/>
  <c r="BW41" i="8"/>
  <c r="BX41" i="8"/>
  <c r="BZ41" i="8"/>
  <c r="CA41" i="8"/>
  <c r="CI40" i="8"/>
  <c r="CF40" i="8"/>
  <c r="CD40" i="8"/>
  <c r="CE40" i="8"/>
  <c r="CG40" i="8"/>
  <c r="CH40" i="8"/>
  <c r="BY40" i="8"/>
  <c r="BZ40" i="8"/>
  <c r="CA40" i="8"/>
  <c r="BW40" i="8"/>
  <c r="BX40" i="8"/>
  <c r="CI39" i="8"/>
  <c r="CF39" i="8"/>
  <c r="CD39" i="8"/>
  <c r="CE39" i="8"/>
  <c r="BY39" i="8"/>
  <c r="BW39" i="8"/>
  <c r="BX39" i="8"/>
  <c r="BZ39" i="8"/>
  <c r="CA39" i="8"/>
  <c r="CI38" i="8"/>
  <c r="CF38" i="8"/>
  <c r="CD38" i="8"/>
  <c r="CE38" i="8"/>
  <c r="BY38" i="8"/>
  <c r="BW38" i="8"/>
  <c r="BX38" i="8"/>
  <c r="CI37" i="8"/>
  <c r="CF37" i="8"/>
  <c r="CD37" i="8"/>
  <c r="CE37" i="8"/>
  <c r="CG37" i="8"/>
  <c r="CH37" i="8"/>
  <c r="BY37" i="8"/>
  <c r="BZ37" i="8"/>
  <c r="CA37" i="8"/>
  <c r="BW37" i="8"/>
  <c r="BX37" i="8"/>
  <c r="CI36" i="8"/>
  <c r="CF36" i="8"/>
  <c r="CD36" i="8"/>
  <c r="CE36" i="8"/>
  <c r="BY36" i="8"/>
  <c r="BZ36" i="8"/>
  <c r="CA36" i="8"/>
  <c r="E6" i="8"/>
  <c r="CV12" i="8"/>
  <c r="BW36" i="8"/>
  <c r="BX36" i="8"/>
  <c r="CI35" i="8"/>
  <c r="CF35" i="8"/>
  <c r="CD35" i="8"/>
  <c r="CE35" i="8"/>
  <c r="BY35" i="8"/>
  <c r="BW35" i="8"/>
  <c r="BX35" i="8"/>
  <c r="BZ35" i="8"/>
  <c r="CA35" i="8"/>
  <c r="E5" i="8"/>
  <c r="CV11" i="8"/>
  <c r="CI34" i="8"/>
  <c r="CF34" i="8"/>
  <c r="CD34" i="8"/>
  <c r="CE34" i="8"/>
  <c r="CG34" i="8"/>
  <c r="CH34" i="8"/>
  <c r="BY34" i="8"/>
  <c r="BW34" i="8"/>
  <c r="BX34" i="8"/>
  <c r="BZ34" i="8"/>
  <c r="CA34" i="8"/>
  <c r="CI33" i="8"/>
  <c r="CF33" i="8"/>
  <c r="CD33" i="8"/>
  <c r="CE33" i="8"/>
  <c r="BY33" i="8"/>
  <c r="BW33" i="8"/>
  <c r="BX33" i="8"/>
  <c r="BZ33" i="8"/>
  <c r="CA33" i="8"/>
  <c r="CW18" i="8"/>
  <c r="CV18" i="8"/>
  <c r="CW17" i="8"/>
  <c r="CV17" i="8"/>
  <c r="CW16" i="8"/>
  <c r="CV16" i="8"/>
  <c r="CW15" i="8"/>
  <c r="CV15" i="8"/>
  <c r="CW14" i="8"/>
  <c r="CV14" i="8"/>
  <c r="CW13" i="8"/>
  <c r="CV13" i="8"/>
  <c r="D6" i="8"/>
  <c r="D5" i="8"/>
  <c r="D4" i="8"/>
  <c r="E4" i="8"/>
  <c r="CV10" i="8"/>
  <c r="D3" i="8"/>
  <c r="CH35" i="10"/>
  <c r="CA34" i="10"/>
  <c r="E4" i="10"/>
  <c r="CV10" i="10"/>
  <c r="BZ38" i="10"/>
  <c r="CA38" i="10"/>
  <c r="CH37" i="10"/>
  <c r="BZ36" i="10"/>
  <c r="CA36" i="10"/>
  <c r="CH35" i="9"/>
  <c r="F5" i="9"/>
  <c r="CW11" i="9"/>
  <c r="CV11" i="9"/>
  <c r="E11" i="10"/>
  <c r="CV17" i="10"/>
  <c r="E7" i="9"/>
  <c r="CG42" i="9"/>
  <c r="CH42" i="9"/>
  <c r="F4" i="8"/>
  <c r="CW10" i="8"/>
  <c r="D3" i="4"/>
  <c r="D4" i="4"/>
  <c r="D3" i="5"/>
  <c r="D4" i="5"/>
  <c r="C3" i="6"/>
  <c r="A5" i="6"/>
  <c r="A3" i="6"/>
  <c r="F2" i="6"/>
  <c r="L1" i="5"/>
  <c r="AB1" i="5"/>
  <c r="AC1" i="5"/>
  <c r="AD1" i="5"/>
  <c r="AE1" i="5"/>
  <c r="F1" i="5"/>
  <c r="G1" i="5"/>
  <c r="H1" i="5"/>
  <c r="I1" i="5"/>
  <c r="B23" i="5"/>
  <c r="B29" i="4"/>
  <c r="B22" i="5"/>
  <c r="B21" i="5"/>
  <c r="B28" i="4"/>
  <c r="B27" i="4"/>
  <c r="B19" i="5"/>
  <c r="B25" i="4"/>
  <c r="B17" i="5"/>
  <c r="B23" i="4"/>
  <c r="F11" i="5"/>
  <c r="J6" i="5"/>
  <c r="I6" i="5"/>
  <c r="F5" i="5"/>
  <c r="F4" i="5"/>
  <c r="F11" i="4"/>
  <c r="B21" i="4"/>
  <c r="D3" i="3"/>
  <c r="D4" i="3" s="1"/>
  <c r="L2" i="4"/>
  <c r="T1" i="5"/>
  <c r="U1" i="5"/>
  <c r="V1" i="5"/>
  <c r="W1" i="5"/>
  <c r="X1" i="5"/>
  <c r="Y1" i="5"/>
  <c r="Z1" i="5"/>
  <c r="AF1" i="5"/>
  <c r="AG1" i="5"/>
  <c r="W2" i="4"/>
  <c r="X2" i="4"/>
  <c r="F4" i="4"/>
  <c r="F5" i="4"/>
  <c r="J6" i="4"/>
  <c r="I6" i="4"/>
  <c r="G2" i="4"/>
  <c r="H2" i="4"/>
  <c r="I2" i="4"/>
  <c r="J2" i="4"/>
  <c r="F9" i="4"/>
  <c r="F11" i="3"/>
  <c r="F10" i="3"/>
  <c r="K1" i="3"/>
  <c r="I6" i="3"/>
  <c r="H6" i="3"/>
  <c r="F5" i="3"/>
  <c r="F4" i="3"/>
  <c r="F1" i="3"/>
  <c r="G1" i="3" s="1"/>
  <c r="H1" i="3" s="1"/>
  <c r="I1" i="3" s="1"/>
  <c r="B29" i="3"/>
  <c r="B28" i="3"/>
  <c r="B27" i="3"/>
  <c r="B25" i="3"/>
  <c r="B23" i="3"/>
  <c r="B21" i="3"/>
  <c r="AC1" i="14"/>
  <c r="AD1" i="14"/>
  <c r="AE1" i="14"/>
  <c r="AF1" i="14"/>
  <c r="AG1" i="14"/>
  <c r="AH1" i="14"/>
  <c r="AI1" i="14"/>
  <c r="I9" i="14"/>
  <c r="G9" i="14"/>
  <c r="M1" i="14"/>
  <c r="AC1" i="12"/>
  <c r="AD1" i="12" s="1"/>
  <c r="AE1" i="12" s="1"/>
  <c r="W1" i="12"/>
  <c r="X1" i="12" s="1"/>
  <c r="T1" i="12"/>
  <c r="U1" i="12" s="1"/>
  <c r="V1" i="12" s="1"/>
  <c r="Y1" i="12" s="1"/>
  <c r="Z1" i="12" s="1"/>
  <c r="CG33" i="8"/>
  <c r="CH33" i="8"/>
  <c r="F3" i="8"/>
  <c r="CW9" i="8"/>
  <c r="CG38" i="8"/>
  <c r="CH38" i="8"/>
  <c r="CG39" i="8"/>
  <c r="CH39" i="8"/>
  <c r="CW13" i="9"/>
  <c r="BZ33" i="10"/>
  <c r="CA33" i="10"/>
  <c r="E3" i="10"/>
  <c r="CV9" i="10"/>
  <c r="CG39" i="10"/>
  <c r="CH39" i="10"/>
  <c r="F9" i="10"/>
  <c r="CW15" i="10"/>
  <c r="BZ33" i="9"/>
  <c r="CA33" i="9"/>
  <c r="E3" i="9"/>
  <c r="CV9" i="9"/>
  <c r="CG36" i="9"/>
  <c r="CH36" i="9"/>
  <c r="BZ42" i="9"/>
  <c r="CA42" i="9"/>
  <c r="E6" i="10"/>
  <c r="CV12" i="10"/>
  <c r="S1" i="3"/>
  <c r="T1" i="3"/>
  <c r="U1" i="3"/>
  <c r="V1" i="3"/>
  <c r="W1" i="3"/>
  <c r="X1" i="3"/>
  <c r="Y1" i="3"/>
  <c r="F6" i="9"/>
  <c r="CW12" i="9"/>
  <c r="BZ39" i="9"/>
  <c r="CA39" i="9"/>
  <c r="E8" i="10"/>
  <c r="CV14" i="10"/>
  <c r="F7" i="10"/>
  <c r="CW13" i="10"/>
  <c r="M1" i="5"/>
  <c r="F9" i="5"/>
  <c r="F10" i="5"/>
  <c r="CG36" i="8"/>
  <c r="CH36" i="8"/>
  <c r="F6" i="8"/>
  <c r="CW12" i="8"/>
  <c r="CV13" i="9"/>
  <c r="F3" i="9"/>
  <c r="CW9" i="9"/>
  <c r="F4" i="9"/>
  <c r="CW10" i="9"/>
  <c r="BZ35" i="10"/>
  <c r="CA35" i="10"/>
  <c r="E5" i="10"/>
  <c r="CV11" i="10"/>
  <c r="CG36" i="10"/>
  <c r="CH36" i="10"/>
  <c r="F6" i="10"/>
  <c r="CW12" i="10"/>
  <c r="CG41" i="10"/>
  <c r="CH41" i="10"/>
  <c r="AA1" i="3"/>
  <c r="M2" i="4"/>
  <c r="N2" i="4"/>
  <c r="F10" i="4"/>
  <c r="AH1" i="5"/>
  <c r="AI1" i="5"/>
  <c r="CG40" i="9"/>
  <c r="CH40" i="9"/>
  <c r="F11" i="10"/>
  <c r="CW17" i="10"/>
  <c r="CG35" i="8"/>
  <c r="CH35" i="8"/>
  <c r="F5" i="8"/>
  <c r="CW11" i="8"/>
  <c r="BZ38" i="8"/>
  <c r="CA38" i="8"/>
  <c r="CG41" i="8"/>
  <c r="CH41" i="8"/>
  <c r="CG40" i="10"/>
  <c r="CH40" i="10"/>
  <c r="F10" i="10"/>
  <c r="CW16" i="10"/>
  <c r="AB2" i="4"/>
  <c r="E6" i="9"/>
  <c r="CV12" i="9"/>
  <c r="T2" i="4"/>
  <c r="U2" i="4"/>
  <c r="V2" i="4"/>
  <c r="Y2" i="4"/>
  <c r="Z2" i="4"/>
  <c r="AM2" i="4"/>
  <c r="AN2" i="4"/>
  <c r="AO2" i="4"/>
  <c r="Q2" i="4"/>
  <c r="K9" i="4"/>
  <c r="E3" i="8"/>
  <c r="CV9" i="8"/>
  <c r="B12" i="6"/>
  <c r="N1" i="14"/>
  <c r="O1" i="14"/>
  <c r="J9" i="14"/>
  <c r="AM1" i="14"/>
  <c r="AN1" i="14"/>
  <c r="AO1" i="14"/>
  <c r="Q1" i="14"/>
  <c r="L9" i="14"/>
  <c r="AK1" i="14"/>
  <c r="P1" i="14"/>
  <c r="K9" i="14"/>
  <c r="O2" i="4"/>
  <c r="I9" i="4"/>
  <c r="H9" i="4"/>
  <c r="B13" i="6"/>
  <c r="B14" i="6"/>
  <c r="B15" i="6"/>
  <c r="AB1" i="3"/>
  <c r="AC1" i="3"/>
  <c r="AD1" i="3"/>
  <c r="AE1" i="3"/>
  <c r="AF1" i="3"/>
  <c r="AG1" i="3"/>
  <c r="AH1" i="3"/>
  <c r="AM1" i="5"/>
  <c r="AN1" i="5"/>
  <c r="AO1" i="5"/>
  <c r="Q1" i="5"/>
  <c r="K9" i="5"/>
  <c r="N1" i="5"/>
  <c r="AK1" i="5"/>
  <c r="P1" i="5"/>
  <c r="J9" i="5"/>
  <c r="AC2" i="4"/>
  <c r="AD2" i="4"/>
  <c r="AE2" i="4"/>
  <c r="AF2" i="4"/>
  <c r="AG2" i="4"/>
  <c r="AK2" i="4"/>
  <c r="B16" i="6"/>
  <c r="B17" i="6"/>
  <c r="E2" i="6"/>
  <c r="AH2" i="4"/>
  <c r="AI2" i="4"/>
  <c r="P2" i="4"/>
  <c r="J9" i="4"/>
  <c r="O1" i="5"/>
  <c r="I9" i="5"/>
  <c r="H9" i="5"/>
  <c r="AH1" i="12" l="1"/>
  <c r="AI1" i="12" s="1"/>
  <c r="I9" i="12"/>
  <c r="G9" i="12"/>
  <c r="M1" i="12"/>
  <c r="L1" i="3"/>
  <c r="F9" i="3"/>
  <c r="H9" i="3"/>
  <c r="AM1" i="12" l="1"/>
  <c r="AN1" i="12" s="1"/>
  <c r="AO1" i="12" s="1"/>
  <c r="Q1" i="12" s="1"/>
  <c r="L9" i="12" s="1"/>
  <c r="AK1" i="12"/>
  <c r="P1" i="12" s="1"/>
  <c r="K9" i="12" s="1"/>
  <c r="N1" i="12"/>
  <c r="O1" i="12" s="1"/>
  <c r="J9" i="12" s="1"/>
  <c r="M1" i="3"/>
  <c r="N1" i="3" s="1"/>
  <c r="I9" i="3" s="1"/>
  <c r="AL1" i="3"/>
  <c r="AM1" i="3" s="1"/>
  <c r="AN1" i="3" s="1"/>
  <c r="P1" i="3" s="1"/>
  <c r="K9" i="3" s="1"/>
  <c r="AJ1" i="3"/>
  <c r="O1" i="3" s="1"/>
  <c r="J9" i="3" s="1"/>
</calcChain>
</file>

<file path=xl/sharedStrings.xml><?xml version="1.0" encoding="utf-8"?>
<sst xmlns="http://schemas.openxmlformats.org/spreadsheetml/2006/main" count="236" uniqueCount="104">
  <si>
    <t>Karma YBÜ</t>
  </si>
  <si>
    <t>Anestezi ve Reanimasyon YBÜ</t>
  </si>
  <si>
    <t>Çocuk Hastalıkları YBÜ’ler</t>
  </si>
  <si>
    <t>Erişkin Cerrahi YBÜ’ler</t>
  </si>
  <si>
    <t>Erişkin Dahili YBÜ’ler</t>
  </si>
  <si>
    <t>Özel Hastane</t>
  </si>
  <si>
    <t>Eğitim Araştırma Hastanesi</t>
  </si>
  <si>
    <t>Üniversite Hastanesi</t>
  </si>
  <si>
    <t>Devlet Hastanesi</t>
  </si>
  <si>
    <t>Kurum Yatak Sayısı ≤ 200</t>
  </si>
  <si>
    <t>Kurum Yatak Sayısı &gt; 200</t>
  </si>
  <si>
    <t>Gözlenen ventilatör günü</t>
  </si>
  <si>
    <t>Hasta sayısı</t>
  </si>
  <si>
    <t>Hasta günü</t>
  </si>
  <si>
    <t>DEĞİŞKEN</t>
  </si>
  <si>
    <t>VERİ GİRİŞİ</t>
  </si>
  <si>
    <t>DÖNEM BAŞLANGICI</t>
  </si>
  <si>
    <t>DÖNEM BİTİŞİ</t>
  </si>
  <si>
    <t>KURUM ADI</t>
  </si>
  <si>
    <t>XXXXXXX EĞİTİM VE ARAŞTIRMA HASTANESİ</t>
  </si>
  <si>
    <t>BİRİM ADI</t>
  </si>
  <si>
    <t>ANESTEZİ YBÜ 2</t>
  </si>
  <si>
    <t>BU DÖRT KATEGORİDEN YALNIZCA BİRİNE ''1'' YAZINIZ! DİĞER KATEGORİLER İÇİN ''0'' YAZINIZ!</t>
  </si>
  <si>
    <t>BU BEŞ KATEGORİDEN YALNIZCA BİRİNE ''1'' YAZINIZ! DİĞER KATEGORİLER İÇİN ''0'' YAZINIZ!</t>
  </si>
  <si>
    <t>BU İKİ KATEGORİDEN YALNIZCA BİRİNE ''1'' YAZINIZ! DİĞER KATEGORİLER İÇİN ''0'' YAZINIZ!</t>
  </si>
  <si>
    <t>%95 GA alt sınırı</t>
  </si>
  <si>
    <t>%95 GA üst sınırı</t>
  </si>
  <si>
    <t>p değeri</t>
  </si>
  <si>
    <t>ÖNGÖRÜLEN VENTİLATÖR GÜNÜ SAYISI</t>
  </si>
  <si>
    <t>SAKO</t>
  </si>
  <si>
    <t>DÖNEM:</t>
  </si>
  <si>
    <t>Gözlenen santral kateter günü</t>
  </si>
  <si>
    <t>KARMA YBÜ</t>
  </si>
  <si>
    <t>ÖNGÖRÜLEN SK GÜNÜ SAYISI</t>
  </si>
  <si>
    <t>Gözlenen üriner kateter günü</t>
  </si>
  <si>
    <t>ÖNGÖRÜLEN ÜK GÜNÜ SAYISI</t>
  </si>
  <si>
    <t>%95 GA ÜST SINIRI</t>
  </si>
  <si>
    <t>%95 GA ALT SINIRI</t>
  </si>
  <si>
    <t>TOPLAM ÖNGÖRÜLEN ARAÇ GÜNÜ SAYISI</t>
  </si>
  <si>
    <t>TOPLAM GÖZLENEN ARAÇ GÜNÜ SAYISI</t>
  </si>
  <si>
    <t>DÖNEM</t>
  </si>
  <si>
    <t>OCAK-MART</t>
  </si>
  <si>
    <t>NİSAN-HAZİRAN</t>
  </si>
  <si>
    <t>TEMMUZ-EYLÜL</t>
  </si>
  <si>
    <t>EKİM-ARALIK</t>
  </si>
  <si>
    <t>ÖNGÖRÜLEN ARAÇ GÜNÜ SAYISI</t>
  </si>
  <si>
    <t>GÖZLENEN ARAÇ GÜNÜ SAYISI</t>
  </si>
  <si>
    <t>YIL</t>
  </si>
  <si>
    <t>ANESTEZİ YBÜ</t>
  </si>
  <si>
    <t>KDC YBÜ</t>
  </si>
  <si>
    <t>ACİL YBÜ</t>
  </si>
  <si>
    <t>DAHİLİ YBÜ</t>
  </si>
  <si>
    <t>GENEL CERRAHİ YBÜ</t>
  </si>
  <si>
    <t>KORONER YBÜ</t>
  </si>
  <si>
    <t>NÖROLOJİ YBÜ</t>
  </si>
  <si>
    <t>ÇOCUK YBÜ</t>
  </si>
  <si>
    <t>YENİDOĞAN YBÜ</t>
  </si>
  <si>
    <t>LÜTFEN DİĞER SAYFALARDA ÇALIŞMAYA BAŞLAMADAN ÖNCE BU SAYFANIN TAMAMINI OKUYUNUZ!</t>
  </si>
  <si>
    <t>VERİ GİRİŞ ALANI</t>
  </si>
  <si>
    <t>SONUÇLAR</t>
  </si>
  <si>
    <t>KURUMSAL ÇALIŞMA SAYFASI NASIL KULLANILIR?</t>
  </si>
  <si>
    <t>DÖNEM GRAFİK ÇALIŞMA SAYFASI NASIL KULLANILIR?</t>
  </si>
  <si>
    <t>YIL GRAFİK ÇALIŞMA SAYFASI NASIL KULLANILIR?</t>
  </si>
  <si>
    <t>YBÜ GRAFİK ÇALIŞMA SAYFASI NASIL KULLANILIR?</t>
  </si>
  <si>
    <t>SAKO-MATİK NEDİR?</t>
  </si>
  <si>
    <t>SAKO-MATİK'İN AMACI NEDİR?</t>
  </si>
  <si>
    <r>
      <t xml:space="preserve">SAKO-MATİK sağlık hizmeti ilişkili enfeksiyonların sürveyansını yürüten kullanıcıların </t>
    </r>
    <r>
      <rPr>
        <b/>
        <sz val="12"/>
        <color theme="1"/>
        <rFont val="Calibri"/>
        <family val="2"/>
        <charset val="162"/>
        <scheme val="minor"/>
      </rPr>
      <t>SAKO</t>
    </r>
    <r>
      <rPr>
        <sz val="12"/>
        <color theme="1"/>
        <rFont val="Calibri"/>
        <family val="2"/>
        <charset val="162"/>
        <scheme val="minor"/>
      </rPr>
      <t xml:space="preserve"> hesaplamaları sırasında yaşayabilecekleri karışıklıkları gidermek, karmaşık işlemler sırasında oluşabilecek hataların önüne geçmek, bu işlemlerin hızlıca yapılmasını sağlamak ve hesaplamalarda standardizasyon sağlamak için geliştirilmiştir.</t>
    </r>
  </si>
  <si>
    <t>SAKO-MATİK'İN İÇERİĞİ NEDİR?</t>
  </si>
  <si>
    <r>
      <t xml:space="preserve">Bu sayfa bir yıl içindeki üçer aylık dört dönemdeki </t>
    </r>
    <r>
      <rPr>
        <b/>
        <sz val="12"/>
        <color theme="1"/>
        <rFont val="Calibri"/>
        <family val="2"/>
        <charset val="162"/>
        <scheme val="minor"/>
      </rPr>
      <t>SAKO'ların</t>
    </r>
    <r>
      <rPr>
        <sz val="12"/>
        <color theme="1"/>
        <rFont val="Calibri"/>
        <family val="2"/>
        <charset val="162"/>
        <scheme val="minor"/>
      </rPr>
      <t xml:space="preserve"> grafiksel olarak değerlendirilmesine yardımcı olmak için oluşturulmuştur. Bu sayfada yine yalnızca yeşil hücrelere veri girişi yapılması gerekmektedir. Dönemler çeşitli şekillerde değiştirerek de grafik oluşturulabilir. Dönemlere ait gözlenen ve öngörülen araç günü sayıları girildiğinde grafikte dönemlere ait </t>
    </r>
    <r>
      <rPr>
        <b/>
        <sz val="12"/>
        <color theme="1"/>
        <rFont val="Calibri"/>
        <family val="2"/>
        <charset val="162"/>
        <scheme val="minor"/>
      </rPr>
      <t>SAKO</t>
    </r>
    <r>
      <rPr>
        <sz val="12"/>
        <color theme="1"/>
        <rFont val="Calibri"/>
        <family val="2"/>
        <charset val="162"/>
        <scheme val="minor"/>
      </rPr>
      <t xml:space="preserve">’lar </t>
    </r>
    <r>
      <rPr>
        <b/>
        <sz val="12"/>
        <color theme="1"/>
        <rFont val="Calibri"/>
        <family val="2"/>
        <charset val="162"/>
        <scheme val="minor"/>
      </rPr>
      <t>%95 GA</t>
    </r>
    <r>
      <rPr>
        <sz val="12"/>
        <color theme="1"/>
        <rFont val="Calibri"/>
        <family val="2"/>
        <charset val="162"/>
        <scheme val="minor"/>
      </rPr>
      <t xml:space="preserve"> ile birlikte yer alacaktır. </t>
    </r>
    <r>
      <rPr>
        <u/>
        <sz val="12"/>
        <color theme="1"/>
        <rFont val="Calibri"/>
        <family val="2"/>
        <charset val="162"/>
        <scheme val="minor"/>
      </rPr>
      <t>Bu grafiği başka bir dosyaya aktararak üzerinde değişiklik yapabilirsiniz.</t>
    </r>
    <r>
      <rPr>
        <sz val="12"/>
        <color theme="1"/>
        <rFont val="Calibri"/>
        <family val="2"/>
        <charset val="162"/>
        <scheme val="minor"/>
      </rPr>
      <t xml:space="preserve"> Grafikte veri girişi olmayan satırlara ait </t>
    </r>
    <r>
      <rPr>
        <b/>
        <sz val="12"/>
        <color theme="1"/>
        <rFont val="Calibri"/>
        <family val="2"/>
        <charset val="162"/>
        <scheme val="minor"/>
      </rPr>
      <t>SAKO</t>
    </r>
    <r>
      <rPr>
        <sz val="12"/>
        <color theme="1"/>
        <rFont val="Calibri"/>
        <family val="2"/>
        <charset val="162"/>
        <scheme val="minor"/>
      </rPr>
      <t xml:space="preserve">’lar </t>
    </r>
    <r>
      <rPr>
        <b/>
        <sz val="12"/>
        <color theme="1"/>
        <rFont val="Calibri"/>
        <family val="2"/>
        <charset val="162"/>
        <scheme val="minor"/>
      </rPr>
      <t>‘’sıfır’’</t>
    </r>
    <r>
      <rPr>
        <sz val="12"/>
        <color theme="1"/>
        <rFont val="Calibri"/>
        <family val="2"/>
        <charset val="162"/>
        <scheme val="minor"/>
      </rPr>
      <t xml:space="preserve"> olarak </t>
    </r>
    <r>
      <rPr>
        <b/>
        <sz val="12"/>
        <color theme="1"/>
        <rFont val="Calibri"/>
        <family val="2"/>
        <charset val="162"/>
        <scheme val="minor"/>
      </rPr>
      <t>%95 GA olmadan</t>
    </r>
    <r>
      <rPr>
        <sz val="12"/>
        <color theme="1"/>
        <rFont val="Calibri"/>
        <family val="2"/>
        <charset val="162"/>
        <scheme val="minor"/>
      </rPr>
      <t xml:space="preserve"> yer alacaktır. İsterseniz bu kısımları grafiği aktardığınız başka bir dosyada kesebilirsiniz.</t>
    </r>
  </si>
  <si>
    <r>
      <t xml:space="preserve">Bu sayfa yıllara göre </t>
    </r>
    <r>
      <rPr>
        <b/>
        <sz val="12"/>
        <color theme="1"/>
        <rFont val="Calibri"/>
        <family val="2"/>
        <charset val="162"/>
        <scheme val="minor"/>
      </rPr>
      <t>SAKO'ların</t>
    </r>
    <r>
      <rPr>
        <sz val="12"/>
        <color theme="1"/>
        <rFont val="Calibri"/>
        <family val="2"/>
        <charset val="162"/>
        <scheme val="minor"/>
      </rPr>
      <t xml:space="preserve"> grafiksel olarak değerlendirilmesine yardımcı olmak için oluşturulmuştur. Bu sayfada yine yalnızca yeşil hücrelere veri girişi yapılması gerekmektedir. Yıllar çeşitli şekillerde değiştirerek de grafik oluşturulabilir. Yıllara ait gözlenen ve öngörülen araç günü sayıları girildiğinde grafikte yıllara ait </t>
    </r>
    <r>
      <rPr>
        <b/>
        <sz val="12"/>
        <color theme="1"/>
        <rFont val="Calibri"/>
        <family val="2"/>
        <charset val="162"/>
        <scheme val="minor"/>
      </rPr>
      <t>SAKO</t>
    </r>
    <r>
      <rPr>
        <sz val="12"/>
        <color theme="1"/>
        <rFont val="Calibri"/>
        <family val="2"/>
        <charset val="162"/>
        <scheme val="minor"/>
      </rPr>
      <t xml:space="preserve">’lar </t>
    </r>
    <r>
      <rPr>
        <b/>
        <sz val="12"/>
        <color theme="1"/>
        <rFont val="Calibri"/>
        <family val="2"/>
        <charset val="162"/>
        <scheme val="minor"/>
      </rPr>
      <t>%95 GA</t>
    </r>
    <r>
      <rPr>
        <sz val="12"/>
        <color theme="1"/>
        <rFont val="Calibri"/>
        <family val="2"/>
        <charset val="162"/>
        <scheme val="minor"/>
      </rPr>
      <t xml:space="preserve"> ile birlikte yer alacaktır. </t>
    </r>
    <r>
      <rPr>
        <u/>
        <sz val="12"/>
        <color theme="1"/>
        <rFont val="Calibri"/>
        <family val="2"/>
        <charset val="162"/>
        <scheme val="minor"/>
      </rPr>
      <t>Bu grafiği başka bir dosyaya aktararak üzerinde değişiklik yapabilirsiniz.</t>
    </r>
    <r>
      <rPr>
        <sz val="12"/>
        <color theme="1"/>
        <rFont val="Calibri"/>
        <family val="2"/>
        <charset val="162"/>
        <scheme val="minor"/>
      </rPr>
      <t xml:space="preserve"> Grafikte veri girişi olmayan satırlara ait</t>
    </r>
    <r>
      <rPr>
        <b/>
        <sz val="12"/>
        <color theme="1"/>
        <rFont val="Calibri"/>
        <family val="2"/>
        <charset val="162"/>
        <scheme val="minor"/>
      </rPr>
      <t xml:space="preserve"> SAKO</t>
    </r>
    <r>
      <rPr>
        <sz val="12"/>
        <color theme="1"/>
        <rFont val="Calibri"/>
        <family val="2"/>
        <charset val="162"/>
        <scheme val="minor"/>
      </rPr>
      <t xml:space="preserve">’lar </t>
    </r>
    <r>
      <rPr>
        <b/>
        <sz val="12"/>
        <color theme="1"/>
        <rFont val="Calibri"/>
        <family val="2"/>
        <charset val="162"/>
        <scheme val="minor"/>
      </rPr>
      <t>‘’sıfır’</t>
    </r>
    <r>
      <rPr>
        <sz val="12"/>
        <color theme="1"/>
        <rFont val="Calibri"/>
        <family val="2"/>
        <charset val="162"/>
        <scheme val="minor"/>
      </rPr>
      <t xml:space="preserve">’ olarak </t>
    </r>
    <r>
      <rPr>
        <b/>
        <sz val="12"/>
        <color theme="1"/>
        <rFont val="Calibri"/>
        <family val="2"/>
        <charset val="162"/>
        <scheme val="minor"/>
      </rPr>
      <t>%95 GA</t>
    </r>
    <r>
      <rPr>
        <sz val="12"/>
        <color theme="1"/>
        <rFont val="Calibri"/>
        <family val="2"/>
        <charset val="162"/>
        <scheme val="minor"/>
      </rPr>
      <t xml:space="preserve"> </t>
    </r>
    <r>
      <rPr>
        <b/>
        <sz val="12"/>
        <color theme="1"/>
        <rFont val="Calibri"/>
        <family val="2"/>
        <charset val="162"/>
        <scheme val="minor"/>
      </rPr>
      <t>olmadan</t>
    </r>
    <r>
      <rPr>
        <sz val="12"/>
        <color theme="1"/>
        <rFont val="Calibri"/>
        <family val="2"/>
        <charset val="162"/>
        <scheme val="minor"/>
      </rPr>
      <t xml:space="preserve"> yer alacaktır. İsterseniz bu kısımları grafiği aktardığınız başka bir dosyada kesebilirsiniz.</t>
    </r>
  </si>
  <si>
    <r>
      <t>Bu sayfa YBÜ’lere göre</t>
    </r>
    <r>
      <rPr>
        <b/>
        <sz val="12"/>
        <color theme="1"/>
        <rFont val="Calibri"/>
        <family val="2"/>
        <charset val="162"/>
        <scheme val="minor"/>
      </rPr>
      <t xml:space="preserve"> SAKO'ların</t>
    </r>
    <r>
      <rPr>
        <sz val="12"/>
        <color theme="1"/>
        <rFont val="Calibri"/>
        <family val="2"/>
        <charset val="162"/>
        <scheme val="minor"/>
      </rPr>
      <t xml:space="preserve"> grafiksel olarak değerlendirilmesine yardımcı olmak için oluşturulmuştur. Bu sayfada yine yalnızca yeşil hücrelere veri girişi yapılması gerekmektedir. YBÜ’ler çeşitli şekillerde değiştirerek de grafik oluşturulabilir. YBÜ’lere ait gözlenen ve öngörülen araç günü sayıları girildiğinde grafikte YBÜ’lere ait </t>
    </r>
    <r>
      <rPr>
        <b/>
        <sz val="12"/>
        <color theme="1"/>
        <rFont val="Calibri"/>
        <family val="2"/>
        <charset val="162"/>
        <scheme val="minor"/>
      </rPr>
      <t>SAKO</t>
    </r>
    <r>
      <rPr>
        <sz val="12"/>
        <color theme="1"/>
        <rFont val="Calibri"/>
        <family val="2"/>
        <charset val="162"/>
        <scheme val="minor"/>
      </rPr>
      <t xml:space="preserve">’lar </t>
    </r>
    <r>
      <rPr>
        <b/>
        <sz val="12"/>
        <color theme="1"/>
        <rFont val="Calibri"/>
        <family val="2"/>
        <charset val="162"/>
        <scheme val="minor"/>
      </rPr>
      <t>%95 GA</t>
    </r>
    <r>
      <rPr>
        <sz val="12"/>
        <color theme="1"/>
        <rFont val="Calibri"/>
        <family val="2"/>
        <charset val="162"/>
        <scheme val="minor"/>
      </rPr>
      <t xml:space="preserve"> ile birlikte yer alacaktır. </t>
    </r>
    <r>
      <rPr>
        <u/>
        <sz val="12"/>
        <color theme="1"/>
        <rFont val="Calibri"/>
        <family val="2"/>
        <charset val="162"/>
        <scheme val="minor"/>
      </rPr>
      <t>Bu grafiği başka bir dosyaya aktararak üzerinde değişiklik yapabilirsiniz.</t>
    </r>
    <r>
      <rPr>
        <sz val="12"/>
        <color theme="1"/>
        <rFont val="Calibri"/>
        <family val="2"/>
        <charset val="162"/>
        <scheme val="minor"/>
      </rPr>
      <t xml:space="preserve"> Grafikte veri girişi olmayan satırlara ait </t>
    </r>
    <r>
      <rPr>
        <b/>
        <sz val="12"/>
        <color theme="1"/>
        <rFont val="Calibri"/>
        <family val="2"/>
        <charset val="162"/>
        <scheme val="minor"/>
      </rPr>
      <t>SAKO</t>
    </r>
    <r>
      <rPr>
        <sz val="12"/>
        <color theme="1"/>
        <rFont val="Calibri"/>
        <family val="2"/>
        <charset val="162"/>
        <scheme val="minor"/>
      </rPr>
      <t xml:space="preserve">’lar </t>
    </r>
    <r>
      <rPr>
        <b/>
        <sz val="12"/>
        <color theme="1"/>
        <rFont val="Calibri"/>
        <family val="2"/>
        <charset val="162"/>
        <scheme val="minor"/>
      </rPr>
      <t>‘’sıfır’’</t>
    </r>
    <r>
      <rPr>
        <sz val="12"/>
        <color theme="1"/>
        <rFont val="Calibri"/>
        <family val="2"/>
        <charset val="162"/>
        <scheme val="minor"/>
      </rPr>
      <t xml:space="preserve"> olarak </t>
    </r>
    <r>
      <rPr>
        <b/>
        <sz val="12"/>
        <color theme="1"/>
        <rFont val="Calibri"/>
        <family val="2"/>
        <charset val="162"/>
        <scheme val="minor"/>
      </rPr>
      <t>%95 GA</t>
    </r>
    <r>
      <rPr>
        <sz val="12"/>
        <color theme="1"/>
        <rFont val="Calibri"/>
        <family val="2"/>
        <charset val="162"/>
        <scheme val="minor"/>
      </rPr>
      <t xml:space="preserve"> olmadan yer alacaktır. İsterseniz bu kısımları grafiği aktardığınız başka bir dosyada kesebilirsiniz.</t>
    </r>
  </si>
  <si>
    <t>enfeksiyon@saglik.gov.tr</t>
  </si>
  <si>
    <t xml:space="preserve"> 'VENTİLATÖR', 'SANTRAL KATETER', 'ÜRİNER KATETER' ÇALIŞMA SAYFALARI NASIL KULLANILIR?</t>
  </si>
  <si>
    <t>DOĞUM AĞIRLIĞI</t>
  </si>
  <si>
    <t>&lt;750 gr</t>
  </si>
  <si>
    <t>751-1000 gr</t>
  </si>
  <si>
    <t>1501-2500 gr</t>
  </si>
  <si>
    <t>1001-1500 gr</t>
  </si>
  <si>
    <t>&gt;2500 gr</t>
  </si>
  <si>
    <t xml:space="preserve"> ≤ 100</t>
  </si>
  <si>
    <t>101-400</t>
  </si>
  <si>
    <t>&gt;400</t>
  </si>
  <si>
    <t>BU üç KATEGORİDEN YALNIZCA BİRİNE ''1'' YAZINIZ! DİĞER KATEGORİLER İÇİN ''0'' YAZINIZ!</t>
  </si>
  <si>
    <t>HASTANE TÜRÜ</t>
  </si>
  <si>
    <t xml:space="preserve"> ≤15</t>
  </si>
  <si>
    <t>&gt;15</t>
  </si>
  <si>
    <t>YBÜ YATAK SAYISI</t>
  </si>
  <si>
    <t>HASTANE YATAK SAYISI</t>
  </si>
  <si>
    <t>Hasta günü (doğum ağırlığı kategorisine ait)</t>
  </si>
  <si>
    <t>Hasta günü (YBÜ'ye ait)</t>
  </si>
  <si>
    <t>Hasta sayısı (YBÜ'ye ait)</t>
  </si>
  <si>
    <t>TÜM DOĞUM AĞIRLIĞI KATEGORİLERİNE AİT</t>
  </si>
  <si>
    <t>İLGİLİ DOĞUM AĞIRLIĞI KATEGORİSİNE AİT</t>
  </si>
  <si>
    <t>ÖNGÖRÜLEN SANTRAL KATETER GÜNÜ SAYISI</t>
  </si>
  <si>
    <t xml:space="preserve"> ≤12</t>
  </si>
  <si>
    <t>&gt;12</t>
  </si>
  <si>
    <r>
      <t xml:space="preserve">SAKO-MATİK sağlık hizmeti ilişkili enfeksiyonların sürveyansında birincil özet ölçüt olarak kullanılan </t>
    </r>
    <r>
      <rPr>
        <b/>
        <sz val="12"/>
        <color theme="1"/>
        <rFont val="Calibri"/>
        <family val="2"/>
        <charset val="162"/>
        <scheme val="minor"/>
      </rPr>
      <t>standardize araç kullanım oranı (SAKO) hesaplamalarında kullanılmak üzere geliştirilmiş</t>
    </r>
    <r>
      <rPr>
        <sz val="12"/>
        <color theme="1"/>
        <rFont val="Calibri"/>
        <family val="2"/>
        <charset val="162"/>
        <scheme val="minor"/>
      </rPr>
      <t xml:space="preserve"> 10 çalışma sayfasından oluşan bir </t>
    </r>
    <r>
      <rPr>
        <b/>
        <sz val="12"/>
        <color theme="1"/>
        <rFont val="Calibri"/>
        <family val="2"/>
        <charset val="162"/>
        <scheme val="minor"/>
      </rPr>
      <t>EXCEL</t>
    </r>
    <r>
      <rPr>
        <sz val="12"/>
        <color theme="1"/>
        <rFont val="Calibri"/>
        <family val="2"/>
        <charset val="162"/>
        <scheme val="minor"/>
      </rPr>
      <t xml:space="preserve"> dosyasıdır. </t>
    </r>
  </si>
  <si>
    <r>
      <t>SAKO-MATİK’te yer alan</t>
    </r>
    <r>
      <rPr>
        <b/>
        <sz val="12"/>
        <color theme="1"/>
        <rFont val="Calibri"/>
        <family val="2"/>
        <charset val="162"/>
        <scheme val="minor"/>
      </rPr>
      <t xml:space="preserve"> 10</t>
    </r>
    <r>
      <rPr>
        <sz val="12"/>
        <color theme="1"/>
        <rFont val="Calibri"/>
        <family val="2"/>
        <charset val="162"/>
        <scheme val="minor"/>
      </rPr>
      <t xml:space="preserve"> çalışma sayfasının ilki şu anda okumakta olduğunuz bu satırların içinde bulunduğu </t>
    </r>
    <r>
      <rPr>
        <b/>
        <sz val="12"/>
        <color theme="1"/>
        <rFont val="Calibri"/>
        <family val="2"/>
        <charset val="162"/>
        <scheme val="minor"/>
      </rPr>
      <t>‘BAŞLANGIÇ SAYFASI’</t>
    </r>
    <r>
      <rPr>
        <sz val="12"/>
        <color theme="1"/>
        <rFont val="Calibri"/>
        <family val="2"/>
        <charset val="162"/>
        <scheme val="minor"/>
      </rPr>
      <t xml:space="preserve">dır. Bu sayfada SAKO-MATİK ve kullanımına ilişkin açıklamalar yer almaktadır. Bu çalışma sayfasının tamamı incelenmeden diğer çalışma sayfalarında çalışmaya başlanmamalıdır. 
</t>
    </r>
    <r>
      <rPr>
        <b/>
        <sz val="12"/>
        <color theme="1"/>
        <rFont val="Calibri"/>
        <family val="2"/>
        <charset val="162"/>
        <scheme val="minor"/>
      </rPr>
      <t>BAŞLANGIÇ SAYFASI</t>
    </r>
    <r>
      <rPr>
        <sz val="12"/>
        <color theme="1"/>
        <rFont val="Calibri"/>
        <family val="2"/>
        <charset val="162"/>
        <scheme val="minor"/>
      </rPr>
      <t xml:space="preserve">’nı takip eden ilk beş çalışma sayfasının adı sırasıyla </t>
    </r>
    <r>
      <rPr>
        <b/>
        <sz val="12"/>
        <color theme="1"/>
        <rFont val="Calibri"/>
        <family val="2"/>
        <charset val="162"/>
        <scheme val="minor"/>
      </rPr>
      <t>‘VENTİLATÖR’,‘YD YENTİLATÖR’, ‘SANTRAL KATETER’,‘YD SANTRAL KATETER’</t>
    </r>
    <r>
      <rPr>
        <sz val="12"/>
        <color theme="1"/>
        <rFont val="Calibri"/>
        <family val="2"/>
        <charset val="162"/>
        <scheme val="minor"/>
      </rPr>
      <t xml:space="preserve"> ve </t>
    </r>
    <r>
      <rPr>
        <b/>
        <sz val="12"/>
        <color theme="1"/>
        <rFont val="Calibri"/>
        <family val="2"/>
        <charset val="162"/>
        <scheme val="minor"/>
      </rPr>
      <t>‘ÜRİNER KATETER’dir</t>
    </r>
    <r>
      <rPr>
        <sz val="12"/>
        <color theme="1"/>
        <rFont val="Calibri"/>
        <family val="2"/>
        <charset val="162"/>
        <scheme val="minor"/>
      </rPr>
      <t xml:space="preserve">. Bu beş sayfa sırasıyla erişkin ve yenidoğan YBÜ'lerde VENTİLATÖR, erişkin ve yenidoğan YBÜ'lerde SANTRAL KATETER ve erişkin YBÜ'lerde ÜRİNER KATETER için </t>
    </r>
    <r>
      <rPr>
        <b/>
        <sz val="12"/>
        <color theme="1"/>
        <rFont val="Calibri"/>
        <family val="2"/>
        <charset val="162"/>
        <scheme val="minor"/>
      </rPr>
      <t>SAKO</t>
    </r>
    <r>
      <rPr>
        <sz val="12"/>
        <color theme="1"/>
        <rFont val="Calibri"/>
        <family val="2"/>
        <charset val="162"/>
        <scheme val="minor"/>
      </rPr>
      <t xml:space="preserve"> hesaplamalarını </t>
    </r>
    <r>
      <rPr>
        <b/>
        <sz val="12"/>
        <color theme="1"/>
        <rFont val="Calibri"/>
        <family val="2"/>
        <charset val="162"/>
        <scheme val="minor"/>
      </rPr>
      <t xml:space="preserve">%95 güven aralığı </t>
    </r>
    <r>
      <rPr>
        <sz val="12"/>
        <color theme="1"/>
        <rFont val="Calibri"/>
        <family val="2"/>
        <charset val="162"/>
        <scheme val="minor"/>
      </rPr>
      <t>ve</t>
    </r>
    <r>
      <rPr>
        <b/>
        <sz val="12"/>
        <color theme="1"/>
        <rFont val="Calibri"/>
        <family val="2"/>
        <charset val="162"/>
        <scheme val="minor"/>
      </rPr>
      <t xml:space="preserve"> p değeri</t>
    </r>
    <r>
      <rPr>
        <sz val="12"/>
        <color theme="1"/>
        <rFont val="Calibri"/>
        <family val="2"/>
        <charset val="162"/>
        <scheme val="minor"/>
      </rPr>
      <t xml:space="preserve"> ile birlikte yapmak içindir. Takip eden çalışma sayfasının adı ise </t>
    </r>
    <r>
      <rPr>
        <b/>
        <sz val="12"/>
        <color theme="1"/>
        <rFont val="Calibri"/>
        <family val="2"/>
        <charset val="162"/>
        <scheme val="minor"/>
      </rPr>
      <t>‘KURUMSAL’</t>
    </r>
    <r>
      <rPr>
        <sz val="12"/>
        <color theme="1"/>
        <rFont val="Calibri"/>
        <family val="2"/>
        <charset val="162"/>
        <scheme val="minor"/>
      </rPr>
      <t xml:space="preserve"> olup, </t>
    </r>
    <r>
      <rPr>
        <b/>
        <u/>
        <sz val="12"/>
        <color theme="1"/>
        <rFont val="Calibri"/>
        <family val="2"/>
        <charset val="162"/>
        <scheme val="minor"/>
      </rPr>
      <t>kurumsal düzeyde</t>
    </r>
    <r>
      <rPr>
        <sz val="12"/>
        <color theme="1"/>
        <rFont val="Calibri"/>
        <family val="2"/>
        <charset val="162"/>
        <scheme val="minor"/>
      </rPr>
      <t xml:space="preserve"> </t>
    </r>
    <r>
      <rPr>
        <b/>
        <sz val="12"/>
        <color theme="1"/>
        <rFont val="Calibri"/>
        <family val="2"/>
        <charset val="162"/>
        <scheme val="minor"/>
      </rPr>
      <t>SAKO</t>
    </r>
    <r>
      <rPr>
        <sz val="12"/>
        <color theme="1"/>
        <rFont val="Calibri"/>
        <family val="2"/>
        <charset val="162"/>
        <scheme val="minor"/>
      </rPr>
      <t xml:space="preserve"> hesaplamalarında kullanılmak üzere oluşturulmuştur. </t>
    </r>
    <r>
      <rPr>
        <b/>
        <sz val="12"/>
        <color theme="1"/>
        <rFont val="Calibri"/>
        <family val="2"/>
        <charset val="162"/>
        <scheme val="minor"/>
      </rPr>
      <t>KURUMSAL’</t>
    </r>
    <r>
      <rPr>
        <sz val="12"/>
        <color theme="1"/>
        <rFont val="Calibri"/>
        <family val="2"/>
        <charset val="162"/>
        <scheme val="minor"/>
      </rPr>
      <t xml:space="preserve">ı takip eden üç çalışma sayfasının adı ise sırasıyla </t>
    </r>
    <r>
      <rPr>
        <b/>
        <sz val="12"/>
        <color theme="1"/>
        <rFont val="Calibri"/>
        <family val="2"/>
        <charset val="162"/>
        <scheme val="minor"/>
      </rPr>
      <t>‘DÖNEM GRAFİK’, ‘YIL GRAFİK’</t>
    </r>
    <r>
      <rPr>
        <sz val="12"/>
        <color theme="1"/>
        <rFont val="Calibri"/>
        <family val="2"/>
        <charset val="162"/>
        <scheme val="minor"/>
      </rPr>
      <t xml:space="preserve"> ve </t>
    </r>
    <r>
      <rPr>
        <b/>
        <sz val="12"/>
        <color theme="1"/>
        <rFont val="Calibri"/>
        <family val="2"/>
        <charset val="162"/>
        <scheme val="minor"/>
      </rPr>
      <t>‘YBÜ GRAFİK</t>
    </r>
    <r>
      <rPr>
        <sz val="12"/>
        <color theme="1"/>
        <rFont val="Calibri"/>
        <family val="2"/>
        <charset val="162"/>
        <scheme val="minor"/>
      </rPr>
      <t xml:space="preserve">’tir. Bu üç sayfa sırasıyla bir yıl içinde üç aylık dört döneme göre, yıllara göre ve yoğun bakım ünitesi (YBÜ) branşına göre </t>
    </r>
    <r>
      <rPr>
        <b/>
        <sz val="12"/>
        <color theme="1"/>
        <rFont val="Calibri"/>
        <family val="2"/>
        <charset val="162"/>
        <scheme val="minor"/>
      </rPr>
      <t>SAKO</t>
    </r>
    <r>
      <rPr>
        <sz val="12"/>
        <color theme="1"/>
        <rFont val="Calibri"/>
        <family val="2"/>
        <charset val="162"/>
        <scheme val="minor"/>
      </rPr>
      <t xml:space="preserve">’nun </t>
    </r>
    <r>
      <rPr>
        <b/>
        <sz val="12"/>
        <color theme="1"/>
        <rFont val="Calibri"/>
        <family val="2"/>
        <charset val="162"/>
        <scheme val="minor"/>
      </rPr>
      <t>%95 GA</t>
    </r>
    <r>
      <rPr>
        <sz val="12"/>
        <color theme="1"/>
        <rFont val="Calibri"/>
        <family val="2"/>
        <charset val="162"/>
        <scheme val="minor"/>
      </rPr>
      <t xml:space="preserve"> ile birlikte grafiklerinin oluşturulması içindir.
</t>
    </r>
  </si>
  <si>
    <r>
      <t xml:space="preserve">Bu üç çalışma sayfasında yalnızca </t>
    </r>
    <r>
      <rPr>
        <b/>
        <u/>
        <sz val="12"/>
        <color theme="9" tint="-0.499984740745262"/>
        <rFont val="Calibri"/>
        <family val="2"/>
        <charset val="162"/>
        <scheme val="minor"/>
      </rPr>
      <t>yeşil hücrelere</t>
    </r>
    <r>
      <rPr>
        <sz val="12"/>
        <color theme="1"/>
        <rFont val="Calibri"/>
        <family val="2"/>
        <charset val="162"/>
        <scheme val="minor"/>
      </rPr>
      <t xml:space="preserve"> veri girişi yapabilirsiniz. Diğer hücrelerde herhangi bir işlem gerçekleştiremezsiniz. Her bir hücrenin üzerine geldiğinizde hangi veriyi nasıl girmeniz gerektiğini gösteren bir uyarı belirecektir. SAKO-MATİK’i özellikle ilk kullanışlarınızda bu uyarıları dikkate almanız önemlidir. Eğer veri girişinde yaptığınız bazı hatalar olursa otomatik olarak uyarı alacaksınız. Bu durumda hatayı düzeltip veri giriş alanlarını doldurmaya devam etmelisiniz. </t>
    </r>
  </si>
  <si>
    <r>
      <t xml:space="preserve">Veri giriş alanının (yeşil hücreler) altındaki ve sağ yanındaki </t>
    </r>
    <r>
      <rPr>
        <b/>
        <u/>
        <sz val="12"/>
        <color rgb="FF7030A0"/>
        <rFont val="Calibri"/>
        <family val="2"/>
        <charset val="162"/>
        <scheme val="minor"/>
      </rPr>
      <t>mor yazılar</t>
    </r>
    <r>
      <rPr>
        <sz val="12"/>
        <color theme="1"/>
        <rFont val="Calibri"/>
        <family val="2"/>
        <charset val="162"/>
        <scheme val="minor"/>
      </rPr>
      <t xml:space="preserve"> veri giriş hatalarına ilişkin diğer uyarılar olup, sonuçlarınızın geçerli olabilmesi için ilgili çalışma sayfasında bu tür uyarılardan </t>
    </r>
    <r>
      <rPr>
        <b/>
        <u/>
        <sz val="12"/>
        <color theme="1"/>
        <rFont val="Calibri"/>
        <family val="2"/>
        <charset val="162"/>
        <scheme val="minor"/>
      </rPr>
      <t>hiçbirinin</t>
    </r>
    <r>
      <rPr>
        <sz val="12"/>
        <color theme="1"/>
        <rFont val="Calibri"/>
        <family val="2"/>
        <charset val="162"/>
        <scheme val="minor"/>
      </rPr>
      <t xml:space="preserve"> olmaması gerekmektedir. Bu uyarılar gerekli düzeltmeleri yaptığınızda ortadan kalkar. 
</t>
    </r>
    <r>
      <rPr>
        <b/>
        <sz val="12"/>
        <color theme="1"/>
        <rFont val="Calibri"/>
        <family val="2"/>
        <charset val="162"/>
        <scheme val="minor"/>
      </rPr>
      <t>Tüm veri giriş alanı (tüm yeşil hücreler) doldurulmalıdır.</t>
    </r>
    <r>
      <rPr>
        <sz val="12"/>
        <color theme="1"/>
        <rFont val="Calibri"/>
        <family val="2"/>
        <charset val="162"/>
        <scheme val="minor"/>
      </rPr>
      <t xml:space="preserve">
Değişken kategorilerinden yalnızca bir tanesi için </t>
    </r>
    <r>
      <rPr>
        <b/>
        <sz val="12"/>
        <color theme="1"/>
        <rFont val="Calibri"/>
        <family val="2"/>
        <charset val="162"/>
        <scheme val="minor"/>
      </rPr>
      <t>‘1’</t>
    </r>
    <r>
      <rPr>
        <sz val="12"/>
        <color theme="1"/>
        <rFont val="Calibri"/>
        <family val="2"/>
        <charset val="162"/>
        <scheme val="minor"/>
      </rPr>
      <t xml:space="preserve"> giriniz, diğerleri için </t>
    </r>
    <r>
      <rPr>
        <b/>
        <sz val="12"/>
        <color theme="1"/>
        <rFont val="Calibri"/>
        <family val="2"/>
        <charset val="162"/>
        <scheme val="minor"/>
      </rPr>
      <t>‘0’</t>
    </r>
    <r>
      <rPr>
        <sz val="12"/>
        <color theme="1"/>
        <rFont val="Calibri"/>
        <family val="2"/>
        <charset val="162"/>
        <scheme val="minor"/>
      </rPr>
      <t xml:space="preserve"> giriniz. Kategorilerin tümüne </t>
    </r>
    <r>
      <rPr>
        <b/>
        <sz val="12"/>
        <color theme="1"/>
        <rFont val="Calibri"/>
        <family val="2"/>
        <charset val="162"/>
        <scheme val="minor"/>
      </rPr>
      <t>‘0’</t>
    </r>
    <r>
      <rPr>
        <sz val="12"/>
        <color theme="1"/>
        <rFont val="Calibri"/>
        <family val="2"/>
        <charset val="162"/>
        <scheme val="minor"/>
      </rPr>
      <t xml:space="preserve"> veya birden fazlasına </t>
    </r>
    <r>
      <rPr>
        <b/>
        <sz val="12"/>
        <color theme="1"/>
        <rFont val="Calibri"/>
        <family val="2"/>
        <charset val="162"/>
        <scheme val="minor"/>
      </rPr>
      <t>‘1’</t>
    </r>
    <r>
      <rPr>
        <sz val="12"/>
        <color theme="1"/>
        <rFont val="Calibri"/>
        <family val="2"/>
        <charset val="162"/>
        <scheme val="minor"/>
      </rPr>
      <t xml:space="preserve"> girmemelisiniz! 
Numerik verilerin girişinde ise harf veya sembol kullanılmamalı ve pozitif tam sayı rakamla yazılmalıdır! 
Hasta sayısı ve araç günü hasta gününden büyük olamaz!
Dönem başlangıç ve bitişi </t>
    </r>
    <r>
      <rPr>
        <b/>
        <sz val="12"/>
        <color theme="1"/>
        <rFont val="Calibri"/>
        <family val="2"/>
        <charset val="162"/>
        <scheme val="minor"/>
      </rPr>
      <t>gg.aa.yyyy</t>
    </r>
    <r>
      <rPr>
        <sz val="12"/>
        <color theme="1"/>
        <rFont val="Calibri"/>
        <family val="2"/>
        <charset val="162"/>
        <scheme val="minor"/>
      </rPr>
      <t xml:space="preserve"> formatında </t>
    </r>
    <r>
      <rPr>
        <b/>
        <sz val="12"/>
        <color theme="1"/>
        <rFont val="Calibri"/>
        <family val="2"/>
        <charset val="162"/>
        <scheme val="minor"/>
      </rPr>
      <t>(15.09.2016 gibi)</t>
    </r>
    <r>
      <rPr>
        <sz val="12"/>
        <color theme="1"/>
        <rFont val="Calibri"/>
        <family val="2"/>
        <charset val="162"/>
        <scheme val="minor"/>
      </rPr>
      <t xml:space="preserve"> girilmelidir. Dönem başlangıcı dönem bitişinden sonra olamaz!
Hasta günü ve araç günü </t>
    </r>
    <r>
      <rPr>
        <b/>
        <sz val="12"/>
        <color theme="1"/>
        <rFont val="Calibri"/>
        <family val="2"/>
        <charset val="162"/>
        <scheme val="minor"/>
      </rPr>
      <t>50’nin üzerinde</t>
    </r>
    <r>
      <rPr>
        <sz val="12"/>
        <color theme="1"/>
        <rFont val="Calibri"/>
        <family val="2"/>
        <charset val="162"/>
        <scheme val="minor"/>
      </rPr>
      <t xml:space="preserve"> olmalıdır!
</t>
    </r>
  </si>
  <si>
    <r>
      <rPr>
        <b/>
        <u/>
        <sz val="12"/>
        <color rgb="FFFF0000"/>
        <rFont val="Calibri"/>
        <family val="2"/>
        <charset val="162"/>
        <scheme val="minor"/>
      </rPr>
      <t>Kırmızı renkli</t>
    </r>
    <r>
      <rPr>
        <sz val="12"/>
        <color theme="1"/>
        <rFont val="Calibri"/>
        <family val="2"/>
        <charset val="162"/>
        <scheme val="minor"/>
      </rPr>
      <t xml:space="preserve"> yazılardan oluşan tablo </t>
    </r>
    <r>
      <rPr>
        <b/>
        <sz val="12"/>
        <color theme="1"/>
        <rFont val="Calibri"/>
        <family val="2"/>
        <charset val="162"/>
        <scheme val="minor"/>
      </rPr>
      <t>SAKO</t>
    </r>
    <r>
      <rPr>
        <sz val="12"/>
        <color theme="1"/>
        <rFont val="Calibri"/>
        <family val="2"/>
        <charset val="162"/>
        <scheme val="minor"/>
      </rPr>
      <t xml:space="preserve"> sonuçlarınızı göstermektedir. Öngörülen VENTİLATÖR GÜNÜ, SANTRAL KATETER GÜNÜ ve ÜRİNER KATETER GÜNÜ sayıları </t>
    </r>
    <r>
      <rPr>
        <b/>
        <i/>
        <sz val="12"/>
        <color theme="1"/>
        <rFont val="Calibri"/>
        <family val="2"/>
        <charset val="162"/>
        <scheme val="minor"/>
      </rPr>
      <t>ULUSAL İNVAVİZ ARAÇ GÜNÜ MODELLERİ 2017'</t>
    </r>
    <r>
      <rPr>
        <sz val="12"/>
        <color theme="1"/>
        <rFont val="Calibri"/>
        <family val="2"/>
        <charset val="162"/>
        <scheme val="minor"/>
      </rPr>
      <t>den elde edilen denklemler kullanılarak hesaplanmaktadır. Tüm hesaplamalara ilişkin ayrıntılı bilgi için ‘</t>
    </r>
    <r>
      <rPr>
        <i/>
        <sz val="12"/>
        <color theme="1"/>
        <rFont val="Calibri"/>
        <family val="2"/>
        <charset val="162"/>
        <scheme val="minor"/>
      </rPr>
      <t>TÜRKİYE’DE 
YOĞUN BAKIM ÜNİTELERİNDE STANDARDİZE ARAÇ KULLANIM ORANI ÖZET RAPORU 2017</t>
    </r>
    <r>
      <rPr>
        <sz val="12"/>
        <color theme="1"/>
        <rFont val="Calibri"/>
        <family val="2"/>
        <charset val="162"/>
        <scheme val="minor"/>
      </rPr>
      <t>’yı inceleyiniz. Yenidoğan YBÜ'lerde ise öngörülen VENTİLATÖR GÜNÜ ve SANTRAL KATETER GÜNÜ sayıları</t>
    </r>
    <r>
      <rPr>
        <b/>
        <i/>
        <sz val="12"/>
        <color theme="1"/>
        <rFont val="Calibri"/>
        <family val="2"/>
        <charset val="162"/>
        <scheme val="minor"/>
      </rPr>
      <t xml:space="preserve"> ULUSAL İNVAVİZ ARAÇ GÜNÜ MODELLERİ 2020</t>
    </r>
    <r>
      <rPr>
        <b/>
        <sz val="12"/>
        <color theme="1"/>
        <rFont val="Calibri"/>
        <family val="2"/>
        <charset val="162"/>
        <scheme val="minor"/>
      </rPr>
      <t>'</t>
    </r>
    <r>
      <rPr>
        <sz val="12"/>
        <color theme="1"/>
        <rFont val="Calibri"/>
        <family val="2"/>
        <charset val="162"/>
        <scheme val="minor"/>
      </rPr>
      <t xml:space="preserve">den elde edilen denklemler kullanılarak hesaplanmaktadır. Eğer öngörülen araç günü sayısı </t>
    </r>
    <r>
      <rPr>
        <b/>
        <u/>
        <sz val="12"/>
        <color theme="1"/>
        <rFont val="Calibri"/>
        <family val="2"/>
        <charset val="162"/>
        <scheme val="minor"/>
      </rPr>
      <t>1.0'ın altındaysa</t>
    </r>
    <r>
      <rPr>
        <sz val="12"/>
        <color theme="1"/>
        <rFont val="Calibri"/>
        <family val="2"/>
        <charset val="162"/>
        <scheme val="minor"/>
      </rPr>
      <t xml:space="preserve"> </t>
    </r>
    <r>
      <rPr>
        <b/>
        <sz val="12"/>
        <color theme="1"/>
        <rFont val="Calibri"/>
        <family val="2"/>
        <charset val="162"/>
        <scheme val="minor"/>
      </rPr>
      <t>SAKO</t>
    </r>
    <r>
      <rPr>
        <sz val="12"/>
        <color theme="1"/>
        <rFont val="Calibri"/>
        <family val="2"/>
        <charset val="162"/>
        <scheme val="minor"/>
      </rPr>
      <t xml:space="preserve"> hesaplamalarının dikkate alınmaması için tablonun altında mor renkli bir uyarı alacaksınız. Gözlenen araç günü sayısının girilmediği veya sıfır olduğu durumlarda ise </t>
    </r>
    <r>
      <rPr>
        <b/>
        <sz val="12"/>
        <color theme="1"/>
        <rFont val="Calibri"/>
        <family val="2"/>
        <charset val="162"/>
        <scheme val="minor"/>
      </rPr>
      <t>%95 GA</t>
    </r>
    <r>
      <rPr>
        <sz val="12"/>
        <color theme="1"/>
        <rFont val="Calibri"/>
        <family val="2"/>
        <charset val="162"/>
        <scheme val="minor"/>
      </rPr>
      <t xml:space="preserve"> alt sınırı hesaplanamayacağından tablonun altında buna ilişkin mor renkli bir uyarı alacaksınız. Bu sonuçları </t>
    </r>
    <r>
      <rPr>
        <b/>
        <sz val="12"/>
        <color theme="1"/>
        <rFont val="Calibri"/>
        <family val="2"/>
        <charset val="162"/>
        <scheme val="minor"/>
      </rPr>
      <t>‘KOPYALA’</t>
    </r>
    <r>
      <rPr>
        <sz val="12"/>
        <color theme="1"/>
        <rFont val="Calibri"/>
        <family val="2"/>
        <charset val="162"/>
        <scheme val="minor"/>
      </rPr>
      <t xml:space="preserve"> işlevini kullanarak başka bir dosyaya aktarabilirsiniz.</t>
    </r>
  </si>
  <si>
    <r>
      <t xml:space="preserve">Bu çalışma sayfasında veri girişi yapılması gereken iki yeşil hücre bulunmaktadır. Toplam gözlenen araç günü  sayısı olarak birimlerde gözlenen araç günü sayılarının toplamını girmelisiniz. Toplam öngörülen araç günü sayısı ise aynı birimlerde ilgili enfeksiyona ait öngörülen araç günü sayılarının toplamıdır. Öngörülen araç günü sayıları </t>
    </r>
    <r>
      <rPr>
        <b/>
        <sz val="12"/>
        <color theme="1"/>
        <rFont val="Calibri"/>
        <family val="2"/>
        <charset val="162"/>
        <scheme val="minor"/>
      </rPr>
      <t>SAKO-MATİK</t>
    </r>
    <r>
      <rPr>
        <sz val="12"/>
        <color theme="1"/>
        <rFont val="Calibri"/>
        <family val="2"/>
        <charset val="162"/>
        <scheme val="minor"/>
      </rPr>
      <t xml:space="preserve">’teki ilgili çalışma sayfasındaki tablolardan elde edilir. Bu sayfada yer alan sonuçlar birimlerdeki toplam gözlenen ve öngörülen enfeksiyon sayılarından elde edildiği için </t>
    </r>
    <r>
      <rPr>
        <b/>
        <u/>
        <sz val="12"/>
        <color theme="1"/>
        <rFont val="Calibri"/>
        <family val="2"/>
        <charset val="162"/>
        <scheme val="minor"/>
      </rPr>
      <t>kurumsal düzeyde</t>
    </r>
    <r>
      <rPr>
        <sz val="12"/>
        <color theme="1"/>
        <rFont val="Calibri"/>
        <family val="2"/>
        <charset val="162"/>
        <scheme val="minor"/>
      </rPr>
      <t xml:space="preserve"> yorumlanmalıdır. </t>
    </r>
    <r>
      <rPr>
        <b/>
        <sz val="12"/>
        <color theme="1"/>
        <rFont val="Calibri"/>
        <family val="2"/>
        <charset val="162"/>
        <scheme val="minor"/>
      </rPr>
      <t>Ayrıca bu sayfa YD-YBÜ'lerde doğum ağırlığı kategorilerinin toplamı olarak YD-YBÜ düzeyinde hesaplamalar için de kullanılabilir.</t>
    </r>
  </si>
  <si>
    <t>https://hsgm.saglik.gov.tr/tr/bulasici-hastaliklar/shie</t>
  </si>
  <si>
    <t>Telefon: 03125656380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</si>
</sst>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7" x14ac:knownFonts="1">
    <font>
      <sz val="11"/>
      <color theme="1"/>
      <name val="Calibri"/>
      <family val="2"/>
      <charset val="162"/>
      <scheme val="minor"/>
    </font>
    <font>
      <b/>
      <sz val="11"/>
      <color theme="1"/>
      <name val="Calibri"/>
      <family val="2"/>
      <charset val="162"/>
      <scheme val="minor"/>
    </font>
    <font>
      <b/>
      <sz val="12"/>
      <color theme="1"/>
      <name val="Calibri"/>
      <family val="2"/>
      <charset val="162"/>
    </font>
    <font>
      <b/>
      <sz val="11"/>
      <color rgb="FFFF0000"/>
      <name val="Calibri"/>
      <family val="2"/>
      <charset val="162"/>
      <scheme val="minor"/>
    </font>
    <font>
      <b/>
      <sz val="12"/>
      <color theme="1"/>
      <name val="Calibri"/>
      <family val="2"/>
      <charset val="162"/>
      <scheme val="minor"/>
    </font>
    <font>
      <b/>
      <sz val="10"/>
      <color theme="1"/>
      <name val="Calibri"/>
      <family val="2"/>
      <charset val="162"/>
      <scheme val="minor"/>
    </font>
    <font>
      <b/>
      <sz val="9"/>
      <color theme="1"/>
      <name val="Calibri"/>
      <family val="2"/>
      <charset val="162"/>
      <scheme val="minor"/>
    </font>
    <font>
      <b/>
      <sz val="11"/>
      <color rgb="FF7030A0"/>
      <name val="Calibri"/>
      <family val="2"/>
      <charset val="162"/>
      <scheme val="minor"/>
    </font>
    <font>
      <b/>
      <sz val="16"/>
      <color rgb="FF7030A0"/>
      <name val="Calibri"/>
      <family val="2"/>
      <charset val="162"/>
      <scheme val="minor"/>
    </font>
    <font>
      <b/>
      <sz val="14"/>
      <color rgb="FFFF0000"/>
      <name val="Calibri"/>
      <family val="2"/>
      <charset val="162"/>
      <scheme val="minor"/>
    </font>
    <font>
      <b/>
      <sz val="12"/>
      <color rgb="FFFF0000"/>
      <name val="Calibri"/>
      <family val="2"/>
      <charset val="162"/>
      <scheme val="minor"/>
    </font>
    <font>
      <sz val="12"/>
      <color theme="1"/>
      <name val="Calibri"/>
      <family val="2"/>
      <charset val="162"/>
      <scheme val="minor"/>
    </font>
    <font>
      <b/>
      <sz val="12"/>
      <color rgb="FF7030A0"/>
      <name val="Calibri"/>
      <family val="2"/>
      <charset val="162"/>
      <scheme val="minor"/>
    </font>
    <font>
      <b/>
      <sz val="16"/>
      <color rgb="FFFF0000"/>
      <name val="Calibri"/>
      <family val="2"/>
      <charset val="162"/>
      <scheme val="minor"/>
    </font>
    <font>
      <b/>
      <sz val="16"/>
      <color theme="1"/>
      <name val="Calibri"/>
      <family val="2"/>
      <charset val="162"/>
      <scheme val="minor"/>
    </font>
    <font>
      <b/>
      <u/>
      <sz val="12"/>
      <color theme="1"/>
      <name val="Calibri"/>
      <family val="2"/>
      <charset val="162"/>
      <scheme val="minor"/>
    </font>
    <font>
      <b/>
      <i/>
      <sz val="14"/>
      <color theme="1"/>
      <name val="Calibri"/>
      <family val="2"/>
      <charset val="162"/>
      <scheme val="minor"/>
    </font>
    <font>
      <u/>
      <sz val="12"/>
      <color theme="1"/>
      <name val="Calibri"/>
      <family val="2"/>
      <charset val="162"/>
      <scheme val="minor"/>
    </font>
    <font>
      <b/>
      <i/>
      <sz val="12"/>
      <color theme="1"/>
      <name val="Calibri"/>
      <family val="2"/>
      <charset val="162"/>
      <scheme val="minor"/>
    </font>
    <font>
      <i/>
      <sz val="12"/>
      <color theme="1"/>
      <name val="Calibri"/>
      <family val="2"/>
      <charset val="162"/>
      <scheme val="minor"/>
    </font>
    <font>
      <sz val="16"/>
      <color theme="1"/>
      <name val="Calibri"/>
      <family val="2"/>
      <charset val="162"/>
      <scheme val="minor"/>
    </font>
    <font>
      <u/>
      <sz val="11"/>
      <color theme="10"/>
      <name val="Calibri"/>
      <family val="2"/>
      <charset val="162"/>
      <scheme val="minor"/>
    </font>
    <font>
      <b/>
      <u/>
      <sz val="12"/>
      <color theme="9" tint="-0.499984740745262"/>
      <name val="Calibri"/>
      <family val="2"/>
      <charset val="162"/>
      <scheme val="minor"/>
    </font>
    <font>
      <b/>
      <u/>
      <sz val="12"/>
      <color rgb="FF7030A0"/>
      <name val="Calibri"/>
      <family val="2"/>
      <charset val="162"/>
      <scheme val="minor"/>
    </font>
    <font>
      <b/>
      <u/>
      <sz val="12"/>
      <color rgb="FFFF0000"/>
      <name val="Calibri"/>
      <family val="2"/>
      <charset val="162"/>
      <scheme val="minor"/>
    </font>
    <font>
      <u/>
      <sz val="14"/>
      <color theme="10"/>
      <name val="Calibri"/>
      <family val="2"/>
      <charset val="162"/>
      <scheme val="minor"/>
    </font>
    <font>
      <sz val="14"/>
      <color theme="1"/>
      <name val="Calibri"/>
      <family val="2"/>
      <charset val="162"/>
      <scheme val="minor"/>
    </font>
  </fonts>
  <fills count="1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00B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21" fillId="0" borderId="0" applyNumberFormat="0" applyFill="0" applyBorder="0" applyAlignment="0" applyProtection="0"/>
  </cellStyleXfs>
  <cellXfs count="122">
    <xf numFmtId="0" fontId="0" fillId="0" borderId="0" xfId="0"/>
    <xf numFmtId="2" fontId="0" fillId="0" borderId="0" xfId="0" applyNumberFormat="1"/>
    <xf numFmtId="0" fontId="2" fillId="3" borderId="1" xfId="0" applyFont="1" applyFill="1" applyBorder="1" applyAlignment="1">
      <alignment vertical="center"/>
    </xf>
    <xf numFmtId="0" fontId="4" fillId="3" borderId="1" xfId="0" applyFont="1" applyFill="1" applyBorder="1" applyProtection="1"/>
    <xf numFmtId="0" fontId="1" fillId="3" borderId="1" xfId="0" applyFont="1" applyFill="1" applyBorder="1" applyProtection="1"/>
    <xf numFmtId="14" fontId="3"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14" fontId="9" fillId="0" borderId="7" xfId="0" applyNumberFormat="1" applyFont="1" applyBorder="1" applyAlignment="1">
      <alignment horizontal="center"/>
    </xf>
    <xf numFmtId="2" fontId="4" fillId="0" borderId="1" xfId="0" applyNumberFormat="1" applyFont="1" applyBorder="1" applyAlignment="1" applyProtection="1">
      <alignment horizontal="center" vertical="center"/>
    </xf>
    <xf numFmtId="0" fontId="4" fillId="0" borderId="1" xfId="0" applyFont="1" applyBorder="1" applyAlignment="1" applyProtection="1">
      <alignment horizontal="center" vertical="center"/>
    </xf>
    <xf numFmtId="164" fontId="0" fillId="0" borderId="0" xfId="0" applyNumberFormat="1" applyProtection="1">
      <protection hidden="1"/>
    </xf>
    <xf numFmtId="0" fontId="3" fillId="2" borderId="2" xfId="0" applyFont="1" applyFill="1" applyBorder="1" applyAlignment="1" applyProtection="1">
      <alignment horizontal="center" vertical="center"/>
      <protection locked="0"/>
    </xf>
    <xf numFmtId="1" fontId="3" fillId="2" borderId="2" xfId="0" applyNumberFormat="1" applyFont="1" applyFill="1" applyBorder="1" applyAlignment="1" applyProtection="1">
      <alignment horizontal="center" vertical="center"/>
      <protection locked="0"/>
    </xf>
    <xf numFmtId="2" fontId="4" fillId="0" borderId="1" xfId="0" applyNumberFormat="1" applyFont="1" applyBorder="1" applyAlignment="1">
      <alignment horizontal="center" vertical="center"/>
    </xf>
    <xf numFmtId="0" fontId="4" fillId="0" borderId="1" xfId="0" applyFont="1" applyBorder="1" applyAlignment="1">
      <alignment horizontal="center" vertical="center"/>
    </xf>
    <xf numFmtId="164" fontId="0" fillId="0" borderId="0" xfId="0" applyNumberFormat="1"/>
    <xf numFmtId="0" fontId="2" fillId="3" borderId="1" xfId="0" applyFont="1" applyFill="1" applyBorder="1" applyAlignment="1" applyProtection="1">
      <alignment vertical="center"/>
    </xf>
    <xf numFmtId="0" fontId="0" fillId="0" borderId="0" xfId="0" applyProtection="1"/>
    <xf numFmtId="0" fontId="10" fillId="3" borderId="1" xfId="0" applyFont="1" applyFill="1" applyBorder="1" applyAlignment="1" applyProtection="1">
      <alignment horizontal="center" vertical="center"/>
    </xf>
    <xf numFmtId="0" fontId="10" fillId="7" borderId="1" xfId="0" applyFont="1" applyFill="1" applyBorder="1" applyAlignment="1" applyProtection="1">
      <alignment horizontal="center" vertical="center"/>
      <protection locked="0"/>
    </xf>
    <xf numFmtId="2" fontId="10" fillId="3" borderId="1"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protection locked="0"/>
    </xf>
    <xf numFmtId="2" fontId="10" fillId="0" borderId="1" xfId="0" applyNumberFormat="1" applyFont="1" applyBorder="1" applyAlignment="1">
      <alignment horizontal="center" vertical="center"/>
    </xf>
    <xf numFmtId="164" fontId="0" fillId="0" borderId="0" xfId="0" applyNumberFormat="1" applyProtection="1"/>
    <xf numFmtId="2" fontId="4" fillId="7" borderId="1" xfId="0" applyNumberFormat="1" applyFont="1" applyFill="1" applyBorder="1" applyAlignment="1" applyProtection="1">
      <alignment horizontal="center" vertical="center"/>
      <protection locked="0"/>
    </xf>
    <xf numFmtId="2" fontId="10" fillId="7" borderId="1" xfId="0" applyNumberFormat="1" applyFont="1" applyFill="1" applyBorder="1" applyAlignment="1" applyProtection="1">
      <alignment horizontal="center" vertical="center"/>
      <protection locked="0"/>
    </xf>
    <xf numFmtId="0" fontId="0" fillId="8" borderId="0" xfId="0" applyFill="1" applyProtection="1"/>
    <xf numFmtId="0" fontId="11" fillId="8" borderId="5" xfId="0" applyFont="1" applyFill="1" applyBorder="1" applyAlignment="1" applyProtection="1">
      <alignment horizontal="center" vertical="center" wrapText="1"/>
    </xf>
    <xf numFmtId="0" fontId="11" fillId="8" borderId="0" xfId="0" applyFont="1" applyFill="1" applyBorder="1" applyAlignment="1" applyProtection="1">
      <alignment horizontal="center" vertical="center" wrapText="1"/>
    </xf>
    <xf numFmtId="0" fontId="11" fillId="8" borderId="13" xfId="0" applyFont="1" applyFill="1" applyBorder="1" applyAlignment="1" applyProtection="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pplyProtection="1">
      <alignment horizontal="center" vertical="center"/>
    </xf>
    <xf numFmtId="0" fontId="25" fillId="0" borderId="0" xfId="1" applyFont="1" applyAlignment="1" applyProtection="1">
      <alignment horizontal="center" vertical="center" wrapText="1"/>
    </xf>
    <xf numFmtId="0" fontId="26" fillId="0" borderId="0" xfId="0" applyFont="1" applyAlignment="1" applyProtection="1">
      <alignment horizontal="center" vertical="center" wrapText="1"/>
    </xf>
    <xf numFmtId="0" fontId="14" fillId="3" borderId="9" xfId="0" quotePrefix="1" applyFont="1" applyFill="1" applyBorder="1" applyAlignment="1" applyProtection="1">
      <alignment horizontal="center" vertical="center" wrapText="1"/>
    </xf>
    <xf numFmtId="0" fontId="20" fillId="3" borderId="8" xfId="0" applyFont="1" applyFill="1" applyBorder="1" applyAlignment="1" applyProtection="1">
      <alignment horizontal="center" vertical="center" wrapText="1"/>
    </xf>
    <xf numFmtId="0" fontId="20" fillId="3" borderId="10" xfId="0" applyFont="1" applyFill="1" applyBorder="1" applyAlignment="1" applyProtection="1">
      <alignment horizontal="center" vertical="center" wrapText="1"/>
    </xf>
    <xf numFmtId="0" fontId="20" fillId="3" borderId="11" xfId="0" applyFont="1" applyFill="1" applyBorder="1" applyAlignment="1" applyProtection="1">
      <alignment horizontal="center" vertical="center" wrapText="1"/>
    </xf>
    <xf numFmtId="0" fontId="20" fillId="3" borderId="14" xfId="0" applyFont="1" applyFill="1" applyBorder="1" applyAlignment="1" applyProtection="1">
      <alignment horizontal="center" vertical="center" wrapText="1"/>
    </xf>
    <xf numFmtId="0" fontId="20" fillId="3" borderId="12" xfId="0" applyFont="1" applyFill="1" applyBorder="1" applyAlignment="1" applyProtection="1">
      <alignment horizontal="center" vertical="center" wrapText="1"/>
    </xf>
    <xf numFmtId="0" fontId="11" fillId="9" borderId="9" xfId="0" applyFont="1" applyFill="1" applyBorder="1" applyAlignment="1" applyProtection="1">
      <alignment horizontal="center" vertical="center" wrapText="1"/>
    </xf>
    <xf numFmtId="0" fontId="11" fillId="9" borderId="8" xfId="0" applyFont="1" applyFill="1" applyBorder="1" applyAlignment="1" applyProtection="1">
      <alignment horizontal="center" vertical="center" wrapText="1"/>
    </xf>
    <xf numFmtId="0" fontId="11" fillId="9" borderId="10" xfId="0" applyFont="1" applyFill="1" applyBorder="1" applyAlignment="1" applyProtection="1">
      <alignment horizontal="center" vertical="center" wrapText="1"/>
    </xf>
    <xf numFmtId="0" fontId="11" fillId="9" borderId="5" xfId="0" applyFont="1" applyFill="1" applyBorder="1" applyAlignment="1" applyProtection="1">
      <alignment horizontal="center" vertical="center" wrapText="1"/>
    </xf>
    <xf numFmtId="0" fontId="11" fillId="9" borderId="0" xfId="0" applyFont="1" applyFill="1" applyBorder="1" applyAlignment="1" applyProtection="1">
      <alignment horizontal="center" vertical="center" wrapText="1"/>
    </xf>
    <xf numFmtId="0" fontId="11" fillId="9" borderId="13" xfId="0" applyFont="1" applyFill="1" applyBorder="1" applyAlignment="1" applyProtection="1">
      <alignment horizontal="center" vertical="center" wrapText="1"/>
    </xf>
    <xf numFmtId="0" fontId="11" fillId="9" borderId="11" xfId="0" applyFont="1" applyFill="1" applyBorder="1" applyAlignment="1" applyProtection="1">
      <alignment horizontal="center" vertical="center" wrapText="1"/>
    </xf>
    <xf numFmtId="0" fontId="11" fillId="9" borderId="14" xfId="0" applyFont="1" applyFill="1" applyBorder="1" applyAlignment="1" applyProtection="1">
      <alignment horizontal="center" vertical="center" wrapText="1"/>
    </xf>
    <xf numFmtId="0" fontId="11" fillId="9" borderId="12"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wrapText="1"/>
    </xf>
    <xf numFmtId="0" fontId="0" fillId="8" borderId="7" xfId="0" applyFill="1" applyBorder="1" applyAlignment="1" applyProtection="1">
      <alignment horizontal="center"/>
    </xf>
    <xf numFmtId="0" fontId="25" fillId="0" borderId="0" xfId="1" applyFont="1" applyAlignment="1" applyProtection="1">
      <alignment horizontal="center" vertical="center"/>
    </xf>
    <xf numFmtId="0" fontId="26" fillId="0" borderId="0" xfId="0" applyFont="1" applyAlignment="1">
      <alignment horizontal="center" vertical="center"/>
    </xf>
    <xf numFmtId="0" fontId="9" fillId="0" borderId="0" xfId="0" applyFont="1" applyAlignment="1">
      <alignment horizontal="center"/>
    </xf>
    <xf numFmtId="0" fontId="14" fillId="3" borderId="9" xfId="0" applyFont="1" applyFill="1" applyBorder="1" applyAlignment="1" applyProtection="1">
      <alignment horizontal="center" vertical="center" wrapText="1"/>
    </xf>
    <xf numFmtId="0" fontId="13" fillId="8" borderId="0" xfId="0" applyFont="1" applyFill="1" applyAlignment="1" applyProtection="1">
      <alignment horizontal="center" vertical="center" wrapText="1"/>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2" xfId="0" applyBorder="1" applyAlignment="1" applyProtection="1">
      <alignment horizontal="center"/>
    </xf>
    <xf numFmtId="0" fontId="0" fillId="3" borderId="8"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wrapText="1"/>
    </xf>
    <xf numFmtId="0" fontId="16" fillId="3" borderId="7" xfId="0" applyFont="1" applyFill="1" applyBorder="1" applyAlignment="1" applyProtection="1">
      <alignment horizontal="center" vertical="center" wrapText="1"/>
    </xf>
    <xf numFmtId="0" fontId="16" fillId="3" borderId="2" xfId="0" applyFont="1" applyFill="1" applyBorder="1" applyAlignment="1" applyProtection="1">
      <alignment horizontal="center" vertical="center" wrapText="1"/>
    </xf>
    <xf numFmtId="14" fontId="9" fillId="0" borderId="7" xfId="0" applyNumberFormat="1" applyFont="1" applyBorder="1" applyAlignment="1">
      <alignment horizontal="left"/>
    </xf>
    <xf numFmtId="14" fontId="9" fillId="0" borderId="2" xfId="0" applyNumberFormat="1" applyFont="1" applyBorder="1" applyAlignment="1">
      <alignment horizontal="left"/>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left" vertical="top" wrapText="1"/>
    </xf>
    <xf numFmtId="0" fontId="4" fillId="3" borderId="4" xfId="0" applyFont="1" applyFill="1" applyBorder="1" applyAlignment="1" applyProtection="1">
      <alignment horizontal="left" vertical="top" wrapText="1"/>
    </xf>
    <xf numFmtId="0" fontId="9" fillId="0" borderId="6" xfId="0" applyFont="1" applyBorder="1" applyAlignment="1">
      <alignment horizontal="center"/>
    </xf>
    <xf numFmtId="0" fontId="9" fillId="0" borderId="7" xfId="0" applyFont="1" applyBorder="1" applyAlignment="1">
      <alignment horizontal="center"/>
    </xf>
    <xf numFmtId="0" fontId="9" fillId="0" borderId="2" xfId="0" applyFont="1" applyBorder="1" applyAlignment="1">
      <alignment horizontal="center"/>
    </xf>
    <xf numFmtId="0" fontId="9" fillId="0" borderId="6" xfId="0" applyFont="1" applyBorder="1" applyAlignment="1">
      <alignment horizontal="right" vertical="center" wrapText="1"/>
    </xf>
    <xf numFmtId="0" fontId="9" fillId="0" borderId="7" xfId="0" applyFont="1" applyBorder="1" applyAlignment="1">
      <alignment horizontal="right" vertical="center" wrapText="1"/>
    </xf>
    <xf numFmtId="0" fontId="10" fillId="0" borderId="1" xfId="0" applyFont="1" applyBorder="1" applyAlignment="1" applyProtection="1">
      <alignment horizontal="center" wrapText="1"/>
    </xf>
    <xf numFmtId="0" fontId="10" fillId="0" borderId="1" xfId="0" applyFont="1" applyBorder="1" applyAlignment="1" applyProtection="1">
      <alignment horizontal="center"/>
    </xf>
    <xf numFmtId="0" fontId="10" fillId="0" borderId="1" xfId="0" applyFont="1" applyBorder="1" applyAlignment="1" applyProtection="1">
      <alignment horizontal="center"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2" fontId="4" fillId="0" borderId="1" xfId="0" applyNumberFormat="1" applyFont="1" applyBorder="1" applyAlignment="1" applyProtection="1">
      <alignment horizontal="center" vertical="center" wrapText="1"/>
    </xf>
    <xf numFmtId="0" fontId="7" fillId="0" borderId="8" xfId="0" applyFont="1" applyBorder="1" applyAlignment="1">
      <alignment horizontal="center" vertical="center"/>
    </xf>
    <xf numFmtId="0" fontId="4"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0" xfId="0" applyFont="1" applyAlignment="1" applyProtection="1">
      <alignment horizontal="center" vertical="center" wrapText="1"/>
    </xf>
    <xf numFmtId="2" fontId="4" fillId="0" borderId="6"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6" fillId="4" borderId="1" xfId="0" applyFont="1" applyFill="1" applyBorder="1" applyAlignment="1" applyProtection="1">
      <alignment horizontal="center" vertical="center" wrapText="1"/>
    </xf>
    <xf numFmtId="0" fontId="7" fillId="0" borderId="0" xfId="0" applyFont="1" applyAlignment="1">
      <alignment horizont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8" xfId="0" applyFont="1" applyBorder="1" applyAlignment="1">
      <alignment horizontal="center" vertical="center" wrapText="1"/>
    </xf>
    <xf numFmtId="0" fontId="12" fillId="0" borderId="0" xfId="0" applyFont="1" applyBorder="1" applyAlignment="1">
      <alignment horizontal="center" vertical="center" wrapText="1"/>
    </xf>
    <xf numFmtId="0" fontId="1" fillId="3" borderId="1"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6050321296046"/>
          <c:y val="7.4074146981627301E-2"/>
          <c:w val="0.85382186449994724"/>
          <c:h val="0.76167480314960634"/>
        </c:manualLayout>
      </c:layout>
      <c:lineChart>
        <c:grouping val="standard"/>
        <c:varyColors val="0"/>
        <c:ser>
          <c:idx val="0"/>
          <c:order val="0"/>
          <c:spPr>
            <a:ln w="25400" cap="rnd">
              <a:noFill/>
              <a:round/>
            </a:ln>
            <a:effectLst/>
          </c:spPr>
          <c:marker>
            <c:symbol val="circle"/>
            <c:size val="17"/>
            <c:spPr>
              <a:solidFill>
                <a:schemeClr val="accent1"/>
              </a:solidFill>
              <a:ln>
                <a:noFill/>
              </a:ln>
              <a:effectLst/>
            </c:spPr>
          </c:marker>
          <c:dLbls>
            <c:spPr>
              <a:solidFill>
                <a:srgbClr val="00206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tr-T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Dir val="y"/>
            <c:errBarType val="both"/>
            <c:errValType val="cust"/>
            <c:noEndCap val="0"/>
            <c:plus>
              <c:numRef>
                <c:f>'DÖNEM GRAFİK'!$CW$9:$CW$18</c:f>
                <c:numCache>
                  <c:formatCode>General</c:formatCode>
                  <c:ptCount val="10"/>
                  <c:pt idx="0">
                    <c:v>1.7907449743413517E-2</c:v>
                  </c:pt>
                  <c:pt idx="1">
                    <c:v>6.744176253065004E-3</c:v>
                  </c:pt>
                  <c:pt idx="2">
                    <c:v>2.0362715151145183E-2</c:v>
                  </c:pt>
                  <c:pt idx="3">
                    <c:v>6.7997060203217163E-2</c:v>
                  </c:pt>
                  <c:pt idx="4">
                    <c:v>0</c:v>
                  </c:pt>
                  <c:pt idx="5">
                    <c:v>0</c:v>
                  </c:pt>
                  <c:pt idx="6">
                    <c:v>0</c:v>
                  </c:pt>
                  <c:pt idx="7">
                    <c:v>0</c:v>
                  </c:pt>
                  <c:pt idx="8">
                    <c:v>0</c:v>
                  </c:pt>
                  <c:pt idx="9">
                    <c:v>0</c:v>
                  </c:pt>
                </c:numCache>
              </c:numRef>
            </c:plus>
            <c:minus>
              <c:numRef>
                <c:f>'DÖNEM GRAFİK'!$CV$9:$CV$18</c:f>
                <c:numCache>
                  <c:formatCode>General</c:formatCode>
                  <c:ptCount val="10"/>
                  <c:pt idx="0">
                    <c:v>1.7672491710713056E-2</c:v>
                  </c:pt>
                  <c:pt idx="1">
                    <c:v>6.705284229942543E-3</c:v>
                  </c:pt>
                  <c:pt idx="2">
                    <c:v>1.7998452493131006E-2</c:v>
                  </c:pt>
                  <c:pt idx="3">
                    <c:v>6.4700840110179625E-2</c:v>
                  </c:pt>
                  <c:pt idx="4">
                    <c:v>0</c:v>
                  </c:pt>
                  <c:pt idx="5">
                    <c:v>0</c:v>
                  </c:pt>
                  <c:pt idx="6">
                    <c:v>0</c:v>
                  </c:pt>
                  <c:pt idx="7">
                    <c:v>0</c:v>
                  </c:pt>
                  <c:pt idx="8">
                    <c:v>0</c:v>
                  </c:pt>
                  <c:pt idx="9">
                    <c:v>0</c:v>
                  </c:pt>
                </c:numCache>
              </c:numRef>
            </c:minus>
            <c:spPr>
              <a:noFill/>
              <a:ln w="28575">
                <a:solidFill>
                  <a:schemeClr val="tx1"/>
                </a:solidFill>
                <a:round/>
              </a:ln>
              <a:effectLst/>
            </c:spPr>
          </c:errBars>
          <c:cat>
            <c:strRef>
              <c:f>'DÖNEM GRAFİK'!$A$3:$A$6</c:f>
              <c:strCache>
                <c:ptCount val="4"/>
                <c:pt idx="0">
                  <c:v>OCAK-MART</c:v>
                </c:pt>
                <c:pt idx="1">
                  <c:v>NİSAN-HAZİRAN</c:v>
                </c:pt>
                <c:pt idx="2">
                  <c:v>TEMMUZ-EYLÜL</c:v>
                </c:pt>
                <c:pt idx="3">
                  <c:v>EKİM-ARALIK</c:v>
                </c:pt>
              </c:strCache>
            </c:strRef>
          </c:cat>
          <c:val>
            <c:numRef>
              <c:f>'DÖNEM GRAFİK'!$D$3:$D$6</c:f>
              <c:numCache>
                <c:formatCode>0.00</c:formatCode>
                <c:ptCount val="4"/>
                <c:pt idx="0">
                  <c:v>1.0132729038523793</c:v>
                </c:pt>
                <c:pt idx="1">
                  <c:v>0.87546967257112185</c:v>
                </c:pt>
                <c:pt idx="2">
                  <c:v>0.11526232114467408</c:v>
                </c:pt>
                <c:pt idx="3">
                  <c:v>1</c:v>
                </c:pt>
              </c:numCache>
            </c:numRef>
          </c:val>
          <c:smooth val="0"/>
          <c:extLst>
            <c:ext xmlns:c16="http://schemas.microsoft.com/office/drawing/2014/chart" uri="{C3380CC4-5D6E-409C-BE32-E72D297353CC}">
              <c16:uniqueId val="{00000000-1233-43B1-AE24-B102D9E85901}"/>
            </c:ext>
          </c:extLst>
        </c:ser>
        <c:dLbls>
          <c:dLblPos val="ctr"/>
          <c:showLegendKey val="0"/>
          <c:showVal val="1"/>
          <c:showCatName val="0"/>
          <c:showSerName val="0"/>
          <c:showPercent val="0"/>
          <c:showBubbleSize val="0"/>
        </c:dLbls>
        <c:marker val="1"/>
        <c:smooth val="0"/>
        <c:axId val="146462208"/>
        <c:axId val="146464128"/>
      </c:lineChart>
      <c:catAx>
        <c:axId val="146462208"/>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sz="1600">
                    <a:solidFill>
                      <a:schemeClr val="tx1"/>
                    </a:solidFill>
                  </a:rPr>
                  <a:t>DÖNEM</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tr-TR"/>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0" i="0" u="none" strike="noStrike" kern="1200" cap="all" baseline="0">
                <a:solidFill>
                  <a:schemeClr val="tx1"/>
                </a:solidFill>
                <a:latin typeface="+mn-lt"/>
                <a:ea typeface="+mn-ea"/>
                <a:cs typeface="+mn-cs"/>
              </a:defRPr>
            </a:pPr>
            <a:endParaRPr lang="tr-TR"/>
          </a:p>
        </c:txPr>
        <c:crossAx val="146464128"/>
        <c:crosses val="autoZero"/>
        <c:auto val="1"/>
        <c:lblAlgn val="ctr"/>
        <c:lblOffset val="100"/>
        <c:noMultiLvlLbl val="0"/>
      </c:catAx>
      <c:valAx>
        <c:axId val="1464641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tr-TR" sz="1600">
                    <a:solidFill>
                      <a:schemeClr val="tx1"/>
                    </a:solidFill>
                  </a:rPr>
                  <a:t>SAKO</a:t>
                </a:r>
                <a:endParaRPr lang="en-US" sz="1600">
                  <a:solidFill>
                    <a:schemeClr val="tx1"/>
                  </a:solidFill>
                </a:endParaRP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tr-TR"/>
            </a:p>
          </c:txPr>
        </c:title>
        <c:numFmt formatCode="0.00" sourceLinked="1"/>
        <c:majorTickMark val="none"/>
        <c:minorTickMark val="none"/>
        <c:tickLblPos val="nextTo"/>
        <c:crossAx val="146462208"/>
        <c:crosses val="autoZero"/>
        <c:crossBetween val="between"/>
      </c:valAx>
      <c:spPr>
        <a:noFill/>
        <a:ln>
          <a:solidFill>
            <a:schemeClr val="tx1"/>
          </a:solid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tr-T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96286507875835"/>
          <c:y val="7.407407407407407E-2"/>
          <c:w val="0.85382186449994724"/>
          <c:h val="0.76167480314960634"/>
        </c:manualLayout>
      </c:layout>
      <c:lineChart>
        <c:grouping val="standard"/>
        <c:varyColors val="0"/>
        <c:ser>
          <c:idx val="0"/>
          <c:order val="0"/>
          <c:spPr>
            <a:ln w="25400" cap="rnd">
              <a:noFill/>
              <a:round/>
            </a:ln>
            <a:effectLst/>
          </c:spPr>
          <c:marker>
            <c:symbol val="circle"/>
            <c:size val="17"/>
            <c:spPr>
              <a:solidFill>
                <a:schemeClr val="accent1"/>
              </a:solidFill>
              <a:ln>
                <a:noFill/>
              </a:ln>
              <a:effectLst/>
            </c:spPr>
          </c:marker>
          <c:dLbls>
            <c:spPr>
              <a:solidFill>
                <a:srgbClr val="00206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tr-T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Dir val="y"/>
            <c:errBarType val="both"/>
            <c:errValType val="cust"/>
            <c:noEndCap val="0"/>
            <c:plus>
              <c:numRef>
                <c:f>'YIL GRAFİK'!$CW$9:$CW$18</c:f>
                <c:numCache>
                  <c:formatCode>General</c:formatCode>
                  <c:ptCount val="10"/>
                  <c:pt idx="0">
                    <c:v>0.37110375565145715</c:v>
                  </c:pt>
                  <c:pt idx="1">
                    <c:v>0.37110375565145715</c:v>
                  </c:pt>
                  <c:pt idx="2">
                    <c:v>0.37110375565145715</c:v>
                  </c:pt>
                  <c:pt idx="3">
                    <c:v>0.33361642768448985</c:v>
                  </c:pt>
                  <c:pt idx="4">
                    <c:v>0.37110375565145715</c:v>
                  </c:pt>
                  <c:pt idx="5">
                    <c:v>0</c:v>
                  </c:pt>
                  <c:pt idx="6">
                    <c:v>0</c:v>
                  </c:pt>
                  <c:pt idx="7">
                    <c:v>0</c:v>
                  </c:pt>
                  <c:pt idx="8">
                    <c:v>0</c:v>
                  </c:pt>
                  <c:pt idx="9">
                    <c:v>0</c:v>
                  </c:pt>
                </c:numCache>
              </c:numRef>
            </c:plus>
            <c:minus>
              <c:numRef>
                <c:f>'YIL GRAFİK'!$CV$9:$CV$18</c:f>
                <c:numCache>
                  <c:formatCode>General</c:formatCode>
                  <c:ptCount val="10"/>
                  <c:pt idx="0">
                    <c:v>0.29707176243784361</c:v>
                  </c:pt>
                  <c:pt idx="1">
                    <c:v>0.29707176243784361</c:v>
                  </c:pt>
                  <c:pt idx="2">
                    <c:v>0.29707176243784361</c:v>
                  </c:pt>
                  <c:pt idx="3">
                    <c:v>0.25914529109314544</c:v>
                  </c:pt>
                  <c:pt idx="4">
                    <c:v>0.29707176243784361</c:v>
                  </c:pt>
                  <c:pt idx="5">
                    <c:v>0</c:v>
                  </c:pt>
                  <c:pt idx="6">
                    <c:v>0</c:v>
                  </c:pt>
                  <c:pt idx="7">
                    <c:v>0</c:v>
                  </c:pt>
                  <c:pt idx="8">
                    <c:v>0</c:v>
                  </c:pt>
                  <c:pt idx="9">
                    <c:v>0</c:v>
                  </c:pt>
                </c:numCache>
              </c:numRef>
            </c:minus>
            <c:spPr>
              <a:noFill/>
              <a:ln w="28575">
                <a:solidFill>
                  <a:schemeClr val="tx1"/>
                </a:solidFill>
                <a:round/>
              </a:ln>
              <a:effectLst/>
            </c:spPr>
          </c:errBars>
          <c:cat>
            <c:numRef>
              <c:f>'YIL GRAFİK'!$A$3:$A$7</c:f>
              <c:numCache>
                <c:formatCode>General</c:formatCode>
                <c:ptCount val="5"/>
                <c:pt idx="0">
                  <c:v>2016</c:v>
                </c:pt>
                <c:pt idx="1">
                  <c:v>2017</c:v>
                </c:pt>
                <c:pt idx="2">
                  <c:v>2018</c:v>
                </c:pt>
                <c:pt idx="3">
                  <c:v>2019</c:v>
                </c:pt>
                <c:pt idx="4">
                  <c:v>2020</c:v>
                </c:pt>
              </c:numCache>
            </c:numRef>
          </c:cat>
          <c:val>
            <c:numRef>
              <c:f>'YIL GRAFİK'!$D$3:$D$7</c:f>
              <c:numCache>
                <c:formatCode>0.00</c:formatCode>
                <c:ptCount val="5"/>
                <c:pt idx="0">
                  <c:v>1.0975609756097562</c:v>
                </c:pt>
                <c:pt idx="1">
                  <c:v>1.0975609756097562</c:v>
                </c:pt>
                <c:pt idx="2">
                  <c:v>1.0975609756097562</c:v>
                </c:pt>
                <c:pt idx="3">
                  <c:v>0.85365853658536583</c:v>
                </c:pt>
                <c:pt idx="4">
                  <c:v>1.0975609756097562</c:v>
                </c:pt>
              </c:numCache>
            </c:numRef>
          </c:val>
          <c:smooth val="0"/>
          <c:extLst>
            <c:ext xmlns:c16="http://schemas.microsoft.com/office/drawing/2014/chart" uri="{C3380CC4-5D6E-409C-BE32-E72D297353CC}">
              <c16:uniqueId val="{00000000-2CF5-4666-AF1A-57CB5E9CE19B}"/>
            </c:ext>
          </c:extLst>
        </c:ser>
        <c:dLbls>
          <c:dLblPos val="ctr"/>
          <c:showLegendKey val="0"/>
          <c:showVal val="1"/>
          <c:showCatName val="0"/>
          <c:showSerName val="0"/>
          <c:showPercent val="0"/>
          <c:showBubbleSize val="0"/>
        </c:dLbls>
        <c:marker val="1"/>
        <c:smooth val="0"/>
        <c:axId val="214782720"/>
        <c:axId val="214784640"/>
      </c:lineChart>
      <c:catAx>
        <c:axId val="214782720"/>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n-lt"/>
                    <a:ea typeface="+mn-ea"/>
                    <a:cs typeface="+mn-cs"/>
                  </a:defRPr>
                </a:pPr>
                <a:r>
                  <a:rPr lang="en-US" sz="1600">
                    <a:solidFill>
                      <a:schemeClr val="tx1"/>
                    </a:solidFill>
                  </a:rPr>
                  <a:t>YIL</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n-lt"/>
                  <a:ea typeface="+mn-ea"/>
                  <a:cs typeface="+mn-cs"/>
                </a:defRPr>
              </a:pPr>
              <a:endParaRPr lang="tr-TR"/>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0" i="0" u="none" strike="noStrike" kern="1200" cap="all" baseline="0">
                <a:solidFill>
                  <a:schemeClr val="tx1"/>
                </a:solidFill>
                <a:latin typeface="+mn-lt"/>
                <a:ea typeface="+mn-ea"/>
                <a:cs typeface="+mn-cs"/>
              </a:defRPr>
            </a:pPr>
            <a:endParaRPr lang="tr-TR"/>
          </a:p>
        </c:txPr>
        <c:crossAx val="214784640"/>
        <c:crosses val="autoZero"/>
        <c:auto val="1"/>
        <c:lblAlgn val="ctr"/>
        <c:lblOffset val="100"/>
        <c:noMultiLvlLbl val="0"/>
      </c:catAx>
      <c:valAx>
        <c:axId val="2147846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tr-TR" sz="1600">
                    <a:solidFill>
                      <a:schemeClr val="tx1"/>
                    </a:solidFill>
                  </a:rPr>
                  <a:t>SAKO</a:t>
                </a:r>
                <a:endParaRPr lang="en-US" sz="1600">
                  <a:solidFill>
                    <a:schemeClr val="tx1"/>
                  </a:solidFill>
                </a:endParaRP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tr-TR"/>
            </a:p>
          </c:txPr>
        </c:title>
        <c:numFmt formatCode="0.00" sourceLinked="1"/>
        <c:majorTickMark val="none"/>
        <c:minorTickMark val="none"/>
        <c:tickLblPos val="nextTo"/>
        <c:crossAx val="214782720"/>
        <c:crosses val="autoZero"/>
        <c:crossBetween val="between"/>
      </c:valAx>
      <c:spPr>
        <a:noFill/>
        <a:ln>
          <a:solidFill>
            <a:schemeClr val="tx1"/>
          </a:solid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tr-T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16337906215328"/>
          <c:y val="7.407407407407407E-2"/>
          <c:w val="0.8286213707822605"/>
          <c:h val="0.63891254002456854"/>
        </c:manualLayout>
      </c:layout>
      <c:lineChart>
        <c:grouping val="standard"/>
        <c:varyColors val="0"/>
        <c:ser>
          <c:idx val="0"/>
          <c:order val="0"/>
          <c:spPr>
            <a:ln w="25400" cap="rnd">
              <a:noFill/>
              <a:round/>
            </a:ln>
            <a:effectLst/>
          </c:spPr>
          <c:marker>
            <c:symbol val="circle"/>
            <c:size val="17"/>
            <c:spPr>
              <a:solidFill>
                <a:schemeClr val="accent1"/>
              </a:solidFill>
              <a:ln>
                <a:noFill/>
              </a:ln>
              <a:effectLst/>
            </c:spPr>
          </c:marker>
          <c:dLbls>
            <c:spPr>
              <a:solidFill>
                <a:srgbClr val="00206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tr-T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errBars>
            <c:errDir val="y"/>
            <c:errBarType val="both"/>
            <c:errValType val="cust"/>
            <c:noEndCap val="0"/>
            <c:plus>
              <c:numRef>
                <c:f>'YBÜ GRAFİK'!$CW$9:$CW$18</c:f>
                <c:numCache>
                  <c:formatCode>General</c:formatCode>
                  <c:ptCount val="10"/>
                  <c:pt idx="0">
                    <c:v>2.4299343380447258E-3</c:v>
                  </c:pt>
                  <c:pt idx="1">
                    <c:v>3.7505968702959969E-3</c:v>
                  </c:pt>
                  <c:pt idx="2">
                    <c:v>3.2351997718351733E-3</c:v>
                  </c:pt>
                  <c:pt idx="3">
                    <c:v>2.1234781097468902E-3</c:v>
                  </c:pt>
                  <c:pt idx="4">
                    <c:v>2.4299343380447258E-3</c:v>
                  </c:pt>
                  <c:pt idx="5">
                    <c:v>2.4299343380447258E-3</c:v>
                  </c:pt>
                  <c:pt idx="6">
                    <c:v>2.4299343380447258E-3</c:v>
                  </c:pt>
                  <c:pt idx="7">
                    <c:v>2.4299343380447258E-3</c:v>
                  </c:pt>
                  <c:pt idx="8">
                    <c:v>2.4299343380447258E-3</c:v>
                  </c:pt>
                  <c:pt idx="9">
                    <c:v>2.4299343380447258E-3</c:v>
                  </c:pt>
                </c:numCache>
              </c:numRef>
            </c:plus>
            <c:minus>
              <c:numRef>
                <c:f>'YBÜ GRAFİK'!$CV$9:$CV$18</c:f>
                <c:numCache>
                  <c:formatCode>General</c:formatCode>
                  <c:ptCount val="10"/>
                  <c:pt idx="0">
                    <c:v>2.4257555484223925E-3</c:v>
                  </c:pt>
                  <c:pt idx="1">
                    <c:v>3.7402453801058666E-3</c:v>
                  </c:pt>
                  <c:pt idx="2">
                    <c:v>3.2288530541351168E-3</c:v>
                  </c:pt>
                  <c:pt idx="3">
                    <c:v>2.1198263368783499E-3</c:v>
                  </c:pt>
                  <c:pt idx="4">
                    <c:v>2.4257555484223925E-3</c:v>
                  </c:pt>
                  <c:pt idx="5">
                    <c:v>2.4257555484223925E-3</c:v>
                  </c:pt>
                  <c:pt idx="6">
                    <c:v>2.4257555484223925E-3</c:v>
                  </c:pt>
                  <c:pt idx="7">
                    <c:v>2.4257555484223925E-3</c:v>
                  </c:pt>
                  <c:pt idx="8">
                    <c:v>2.4257555484223925E-3</c:v>
                  </c:pt>
                  <c:pt idx="9">
                    <c:v>2.4257555484223925E-3</c:v>
                  </c:pt>
                </c:numCache>
              </c:numRef>
            </c:minus>
            <c:spPr>
              <a:noFill/>
              <a:ln w="28575">
                <a:solidFill>
                  <a:schemeClr val="tx1"/>
                </a:solidFill>
                <a:round/>
              </a:ln>
              <a:effectLst/>
            </c:spPr>
          </c:errBars>
          <c:cat>
            <c:strRef>
              <c:f>'YBÜ GRAFİK'!$A$3:$A$12</c:f>
              <c:strCache>
                <c:ptCount val="10"/>
                <c:pt idx="0">
                  <c:v>KARMA YBÜ</c:v>
                </c:pt>
                <c:pt idx="1">
                  <c:v>ANESTEZİ YBÜ</c:v>
                </c:pt>
                <c:pt idx="2">
                  <c:v>KDC YBÜ</c:v>
                </c:pt>
                <c:pt idx="3">
                  <c:v>ACİL YBÜ</c:v>
                </c:pt>
                <c:pt idx="4">
                  <c:v>DAHİLİ YBÜ</c:v>
                </c:pt>
                <c:pt idx="5">
                  <c:v>GENEL CERRAHİ YBÜ</c:v>
                </c:pt>
                <c:pt idx="6">
                  <c:v>KORONER YBÜ</c:v>
                </c:pt>
                <c:pt idx="7">
                  <c:v>NÖROLOJİ YBÜ</c:v>
                </c:pt>
                <c:pt idx="8">
                  <c:v>ÇOCUK YBÜ</c:v>
                </c:pt>
                <c:pt idx="9">
                  <c:v>YENİDOĞAN YBÜ</c:v>
                </c:pt>
              </c:strCache>
            </c:strRef>
          </c:cat>
          <c:val>
            <c:numRef>
              <c:f>'YBÜ GRAFİK'!$D$3:$D$12</c:f>
              <c:numCache>
                <c:formatCode>0.00</c:formatCode>
                <c:ptCount val="10"/>
                <c:pt idx="0">
                  <c:v>1.0625532172823755</c:v>
                </c:pt>
                <c:pt idx="1">
                  <c:v>1.0207156106923432</c:v>
                </c:pt>
                <c:pt idx="2">
                  <c:v>1.2397885379132585</c:v>
                </c:pt>
                <c:pt idx="3">
                  <c:v>0.92854710599131807</c:v>
                </c:pt>
                <c:pt idx="4">
                  <c:v>1.0625532172823755</c:v>
                </c:pt>
                <c:pt idx="5">
                  <c:v>1.0625532172823755</c:v>
                </c:pt>
                <c:pt idx="6">
                  <c:v>1.0625532172823755</c:v>
                </c:pt>
                <c:pt idx="7">
                  <c:v>1.0625532172823755</c:v>
                </c:pt>
                <c:pt idx="8">
                  <c:v>1.0625532172823755</c:v>
                </c:pt>
                <c:pt idx="9">
                  <c:v>1.0625532172823755</c:v>
                </c:pt>
              </c:numCache>
            </c:numRef>
          </c:val>
          <c:smooth val="0"/>
          <c:extLst>
            <c:ext xmlns:c16="http://schemas.microsoft.com/office/drawing/2014/chart" uri="{C3380CC4-5D6E-409C-BE32-E72D297353CC}">
              <c16:uniqueId val="{00000000-8B4A-47AC-9FC8-0648AB4A1530}"/>
            </c:ext>
          </c:extLst>
        </c:ser>
        <c:dLbls>
          <c:dLblPos val="ctr"/>
          <c:showLegendKey val="0"/>
          <c:showVal val="1"/>
          <c:showCatName val="0"/>
          <c:showSerName val="0"/>
          <c:showPercent val="0"/>
          <c:showBubbleSize val="0"/>
        </c:dLbls>
        <c:marker val="1"/>
        <c:smooth val="0"/>
        <c:axId val="146395136"/>
        <c:axId val="146397056"/>
      </c:lineChart>
      <c:catAx>
        <c:axId val="146395136"/>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sz="1600">
                    <a:solidFill>
                      <a:schemeClr val="tx1"/>
                    </a:solidFill>
                  </a:rPr>
                  <a:t>BİRİM ADI</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tr-TR"/>
            </a:p>
          </c:txPr>
        </c:title>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5400000" spcFirstLastPara="1" vertOverflow="ellipsis" wrap="square" anchor="ctr" anchorCtr="1"/>
          <a:lstStyle/>
          <a:p>
            <a:pPr>
              <a:defRPr sz="1050" b="0" i="0" u="none" strike="noStrike" kern="1200" cap="all" baseline="0">
                <a:solidFill>
                  <a:schemeClr val="tx1"/>
                </a:solidFill>
                <a:latin typeface="+mn-lt"/>
                <a:ea typeface="+mn-ea"/>
                <a:cs typeface="+mn-cs"/>
              </a:defRPr>
            </a:pPr>
            <a:endParaRPr lang="tr-TR"/>
          </a:p>
        </c:txPr>
        <c:crossAx val="146397056"/>
        <c:crosses val="autoZero"/>
        <c:auto val="1"/>
        <c:lblAlgn val="ctr"/>
        <c:lblOffset val="100"/>
        <c:noMultiLvlLbl val="0"/>
      </c:catAx>
      <c:valAx>
        <c:axId val="146397056"/>
        <c:scaling>
          <c:orientation val="minMax"/>
        </c:scaling>
        <c:delete val="1"/>
        <c:axPos val="l"/>
        <c:title>
          <c:tx>
            <c:rich>
              <a:bodyPr rot="-540000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tr-TR" sz="1600">
                    <a:solidFill>
                      <a:schemeClr val="tx1"/>
                    </a:solidFill>
                  </a:rPr>
                  <a:t>S</a:t>
                </a:r>
                <a:r>
                  <a:rPr lang="en-US" sz="1600">
                    <a:solidFill>
                      <a:schemeClr val="tx1"/>
                    </a:solidFill>
                  </a:rPr>
                  <a:t>AKO</a:t>
                </a:r>
              </a:p>
            </c:rich>
          </c:tx>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tr-TR"/>
            </a:p>
          </c:txPr>
        </c:title>
        <c:numFmt formatCode="0.00" sourceLinked="1"/>
        <c:majorTickMark val="out"/>
        <c:minorTickMark val="none"/>
        <c:tickLblPos val="nextTo"/>
        <c:crossAx val="146395136"/>
        <c:crosses val="autoZero"/>
        <c:crossBetween val="between"/>
      </c:valAx>
      <c:spPr>
        <a:noFill/>
        <a:ln>
          <a:solidFill>
            <a:schemeClr val="tx1"/>
          </a:solid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228600</xdr:colOff>
      <xdr:row>0</xdr:row>
      <xdr:rowOff>123825</xdr:rowOff>
    </xdr:from>
    <xdr:to>
      <xdr:col>16</xdr:col>
      <xdr:colOff>266700</xdr:colOff>
      <xdr:row>16</xdr:row>
      <xdr:rowOff>85725</xdr:rowOff>
    </xdr:to>
    <xdr:graphicFrame macro="">
      <xdr:nvGraphicFramePr>
        <xdr:cNvPr id="2" name="Grafik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0</xdr:row>
      <xdr:rowOff>85725</xdr:rowOff>
    </xdr:from>
    <xdr:to>
      <xdr:col>15</xdr:col>
      <xdr:colOff>161925</xdr:colOff>
      <xdr:row>16</xdr:row>
      <xdr:rowOff>47625</xdr:rowOff>
    </xdr:to>
    <xdr:graphicFrame macro="">
      <xdr:nvGraphicFramePr>
        <xdr:cNvPr id="2" name="Grafik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66675</xdr:colOff>
      <xdr:row>0</xdr:row>
      <xdr:rowOff>57150</xdr:rowOff>
    </xdr:from>
    <xdr:to>
      <xdr:col>15</xdr:col>
      <xdr:colOff>123825</xdr:colOff>
      <xdr:row>19</xdr:row>
      <xdr:rowOff>66675</xdr:rowOff>
    </xdr:to>
    <xdr:graphicFrame macro="">
      <xdr:nvGraphicFramePr>
        <xdr:cNvPr id="2" name="Grafik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sgm.saglik.gov.tr/tr/bulasici-hastaliklar/shie" TargetMode="External"/><Relationship Id="rId1" Type="http://schemas.openxmlformats.org/officeDocument/2006/relationships/hyperlink" Target="mailto:enfeksiyon@saglik.gov.t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8"/>
  <sheetViews>
    <sheetView topLeftCell="A52" workbookViewId="0">
      <selection activeCell="B120" sqref="B116:H120"/>
    </sheetView>
  </sheetViews>
  <sheetFormatPr defaultRowHeight="15" x14ac:dyDescent="0.25"/>
  <cols>
    <col min="1" max="1" width="3.85546875" customWidth="1"/>
    <col min="11" max="11" width="11" customWidth="1"/>
    <col min="12" max="12" width="30.7109375" customWidth="1"/>
  </cols>
  <sheetData>
    <row r="1" spans="1:15" ht="15" customHeight="1" x14ac:dyDescent="0.25">
      <c r="A1" s="17"/>
      <c r="B1" s="60" t="s">
        <v>57</v>
      </c>
      <c r="C1" s="60"/>
      <c r="D1" s="60"/>
      <c r="E1" s="60"/>
      <c r="F1" s="60"/>
      <c r="G1" s="60"/>
      <c r="H1" s="60"/>
      <c r="I1" s="60"/>
      <c r="J1" s="60"/>
      <c r="K1" s="60"/>
      <c r="L1" s="60"/>
      <c r="M1" s="17"/>
      <c r="N1" s="17"/>
      <c r="O1" s="17"/>
    </row>
    <row r="2" spans="1:15" ht="15" customHeight="1" x14ac:dyDescent="0.25">
      <c r="A2" s="17"/>
      <c r="B2" s="60"/>
      <c r="C2" s="60"/>
      <c r="D2" s="60"/>
      <c r="E2" s="60"/>
      <c r="F2" s="60"/>
      <c r="G2" s="60"/>
      <c r="H2" s="60"/>
      <c r="I2" s="60"/>
      <c r="J2" s="60"/>
      <c r="K2" s="60"/>
      <c r="L2" s="60"/>
      <c r="M2" s="17"/>
      <c r="N2" s="17"/>
      <c r="O2" s="17"/>
    </row>
    <row r="3" spans="1:15" ht="15" customHeight="1" x14ac:dyDescent="0.25">
      <c r="A3" s="17"/>
      <c r="B3" s="60"/>
      <c r="C3" s="60"/>
      <c r="D3" s="60"/>
      <c r="E3" s="60"/>
      <c r="F3" s="60"/>
      <c r="G3" s="60"/>
      <c r="H3" s="60"/>
      <c r="I3" s="60"/>
      <c r="J3" s="60"/>
      <c r="K3" s="60"/>
      <c r="L3" s="60"/>
      <c r="M3" s="17"/>
      <c r="N3" s="17"/>
      <c r="O3" s="17"/>
    </row>
    <row r="4" spans="1:15" x14ac:dyDescent="0.25">
      <c r="A4" s="17"/>
      <c r="B4" s="61"/>
      <c r="C4" s="62"/>
      <c r="D4" s="62"/>
      <c r="E4" s="62"/>
      <c r="F4" s="62"/>
      <c r="G4" s="62"/>
      <c r="H4" s="62"/>
      <c r="I4" s="62"/>
      <c r="J4" s="62"/>
      <c r="K4" s="62"/>
      <c r="L4" s="63"/>
      <c r="M4" s="17"/>
      <c r="N4" s="17"/>
      <c r="O4" s="17"/>
    </row>
    <row r="5" spans="1:15" x14ac:dyDescent="0.25">
      <c r="A5" s="17"/>
      <c r="B5" s="59" t="s">
        <v>64</v>
      </c>
      <c r="C5" s="64"/>
      <c r="D5" s="64"/>
      <c r="E5" s="64"/>
      <c r="F5" s="64"/>
      <c r="G5" s="64"/>
      <c r="H5" s="64"/>
      <c r="I5" s="64"/>
      <c r="J5" s="64"/>
      <c r="K5" s="64"/>
      <c r="L5" s="65"/>
      <c r="M5" s="17"/>
      <c r="N5" s="17"/>
      <c r="O5" s="17"/>
    </row>
    <row r="6" spans="1:15" x14ac:dyDescent="0.25">
      <c r="A6" s="17"/>
      <c r="B6" s="66"/>
      <c r="C6" s="67"/>
      <c r="D6" s="67"/>
      <c r="E6" s="67"/>
      <c r="F6" s="67"/>
      <c r="G6" s="67"/>
      <c r="H6" s="67"/>
      <c r="I6" s="67"/>
      <c r="J6" s="67"/>
      <c r="K6" s="67"/>
      <c r="L6" s="68"/>
      <c r="M6" s="17"/>
      <c r="N6" s="17"/>
      <c r="O6" s="17"/>
    </row>
    <row r="7" spans="1:15" ht="15" customHeight="1" x14ac:dyDescent="0.25">
      <c r="A7" s="17"/>
      <c r="B7" s="41" t="s">
        <v>96</v>
      </c>
      <c r="C7" s="42"/>
      <c r="D7" s="42"/>
      <c r="E7" s="42"/>
      <c r="F7" s="42"/>
      <c r="G7" s="42"/>
      <c r="H7" s="42"/>
      <c r="I7" s="42"/>
      <c r="J7" s="42"/>
      <c r="K7" s="42"/>
      <c r="L7" s="43"/>
      <c r="M7" s="17"/>
      <c r="N7" s="17"/>
      <c r="O7" s="17"/>
    </row>
    <row r="8" spans="1:15" ht="15" customHeight="1" x14ac:dyDescent="0.25">
      <c r="A8" s="17"/>
      <c r="B8" s="44"/>
      <c r="C8" s="45"/>
      <c r="D8" s="45"/>
      <c r="E8" s="45"/>
      <c r="F8" s="45"/>
      <c r="G8" s="45"/>
      <c r="H8" s="45"/>
      <c r="I8" s="45"/>
      <c r="J8" s="45"/>
      <c r="K8" s="45"/>
      <c r="L8" s="46"/>
      <c r="M8" s="17"/>
      <c r="N8" s="17"/>
      <c r="O8" s="17"/>
    </row>
    <row r="9" spans="1:15" ht="15" customHeight="1" x14ac:dyDescent="0.25">
      <c r="A9" s="17"/>
      <c r="B9" s="44"/>
      <c r="C9" s="45"/>
      <c r="D9" s="45"/>
      <c r="E9" s="45"/>
      <c r="F9" s="45"/>
      <c r="G9" s="45"/>
      <c r="H9" s="45"/>
      <c r="I9" s="45"/>
      <c r="J9" s="45"/>
      <c r="K9" s="45"/>
      <c r="L9" s="46"/>
      <c r="M9" s="17"/>
      <c r="N9" s="17"/>
      <c r="O9" s="17"/>
    </row>
    <row r="10" spans="1:15" ht="15.75" customHeight="1" x14ac:dyDescent="0.25">
      <c r="A10" s="17"/>
      <c r="B10" s="47"/>
      <c r="C10" s="48"/>
      <c r="D10" s="48"/>
      <c r="E10" s="48"/>
      <c r="F10" s="48"/>
      <c r="G10" s="48"/>
      <c r="H10" s="48"/>
      <c r="I10" s="48"/>
      <c r="J10" s="48"/>
      <c r="K10" s="48"/>
      <c r="L10" s="49"/>
      <c r="M10" s="17"/>
      <c r="N10" s="17"/>
      <c r="O10" s="17"/>
    </row>
    <row r="11" spans="1:15" ht="15.75" x14ac:dyDescent="0.25">
      <c r="A11" s="17"/>
      <c r="B11" s="69"/>
      <c r="C11" s="69"/>
      <c r="D11" s="69"/>
      <c r="E11" s="69"/>
      <c r="F11" s="69"/>
      <c r="G11" s="69"/>
      <c r="H11" s="69"/>
      <c r="I11" s="69"/>
      <c r="J11" s="69"/>
      <c r="K11" s="69"/>
      <c r="L11" s="69"/>
      <c r="M11" s="17"/>
      <c r="N11" s="17"/>
      <c r="O11" s="17"/>
    </row>
    <row r="12" spans="1:15" x14ac:dyDescent="0.25">
      <c r="A12" s="17"/>
      <c r="B12" s="59" t="s">
        <v>65</v>
      </c>
      <c r="C12" s="50"/>
      <c r="D12" s="50"/>
      <c r="E12" s="50"/>
      <c r="F12" s="50"/>
      <c r="G12" s="50"/>
      <c r="H12" s="50"/>
      <c r="I12" s="50"/>
      <c r="J12" s="50"/>
      <c r="K12" s="50"/>
      <c r="L12" s="51"/>
      <c r="M12" s="17"/>
      <c r="N12" s="17"/>
      <c r="O12" s="17"/>
    </row>
    <row r="13" spans="1:15" x14ac:dyDescent="0.25">
      <c r="A13" s="17"/>
      <c r="B13" s="52"/>
      <c r="C13" s="53"/>
      <c r="D13" s="53"/>
      <c r="E13" s="53"/>
      <c r="F13" s="53"/>
      <c r="G13" s="53"/>
      <c r="H13" s="53"/>
      <c r="I13" s="53"/>
      <c r="J13" s="53"/>
      <c r="K13" s="53"/>
      <c r="L13" s="54"/>
      <c r="M13" s="17"/>
      <c r="N13" s="17"/>
      <c r="O13" s="17"/>
    </row>
    <row r="14" spans="1:15" x14ac:dyDescent="0.25">
      <c r="A14" s="17"/>
      <c r="B14" s="41" t="s">
        <v>66</v>
      </c>
      <c r="C14" s="42"/>
      <c r="D14" s="42"/>
      <c r="E14" s="42"/>
      <c r="F14" s="42"/>
      <c r="G14" s="42"/>
      <c r="H14" s="42"/>
      <c r="I14" s="42"/>
      <c r="J14" s="42"/>
      <c r="K14" s="42"/>
      <c r="L14" s="43"/>
      <c r="M14" s="17"/>
      <c r="N14" s="17"/>
      <c r="O14" s="17"/>
    </row>
    <row r="15" spans="1:15" x14ac:dyDescent="0.25">
      <c r="A15" s="17"/>
      <c r="B15" s="44"/>
      <c r="C15" s="45"/>
      <c r="D15" s="45"/>
      <c r="E15" s="45"/>
      <c r="F15" s="45"/>
      <c r="G15" s="45"/>
      <c r="H15" s="45"/>
      <c r="I15" s="45"/>
      <c r="J15" s="45"/>
      <c r="K15" s="45"/>
      <c r="L15" s="46"/>
      <c r="M15" s="17"/>
      <c r="N15" s="17"/>
      <c r="O15" s="17"/>
    </row>
    <row r="16" spans="1:15" x14ac:dyDescent="0.25">
      <c r="A16" s="17"/>
      <c r="B16" s="44"/>
      <c r="C16" s="45"/>
      <c r="D16" s="45"/>
      <c r="E16" s="45"/>
      <c r="F16" s="45"/>
      <c r="G16" s="45"/>
      <c r="H16" s="45"/>
      <c r="I16" s="45"/>
      <c r="J16" s="45"/>
      <c r="K16" s="45"/>
      <c r="L16" s="46"/>
      <c r="M16" s="17"/>
      <c r="N16" s="17"/>
      <c r="O16" s="17"/>
    </row>
    <row r="17" spans="1:15" x14ac:dyDescent="0.25">
      <c r="A17" s="17"/>
      <c r="B17" s="44"/>
      <c r="C17" s="45"/>
      <c r="D17" s="45"/>
      <c r="E17" s="45"/>
      <c r="F17" s="45"/>
      <c r="G17" s="45"/>
      <c r="H17" s="45"/>
      <c r="I17" s="45"/>
      <c r="J17" s="45"/>
      <c r="K17" s="45"/>
      <c r="L17" s="46"/>
      <c r="M17" s="17"/>
      <c r="N17" s="17"/>
      <c r="O17" s="17"/>
    </row>
    <row r="18" spans="1:15" x14ac:dyDescent="0.25">
      <c r="A18" s="17"/>
      <c r="B18" s="47"/>
      <c r="C18" s="48"/>
      <c r="D18" s="48"/>
      <c r="E18" s="48"/>
      <c r="F18" s="48"/>
      <c r="G18" s="48"/>
      <c r="H18" s="48"/>
      <c r="I18" s="48"/>
      <c r="J18" s="48"/>
      <c r="K18" s="48"/>
      <c r="L18" s="49"/>
      <c r="M18" s="17"/>
      <c r="N18" s="17"/>
      <c r="O18" s="17"/>
    </row>
    <row r="19" spans="1:15" x14ac:dyDescent="0.25">
      <c r="A19" s="17"/>
      <c r="B19" s="55"/>
      <c r="C19" s="55"/>
      <c r="D19" s="55"/>
      <c r="E19" s="55"/>
      <c r="F19" s="55"/>
      <c r="G19" s="55"/>
      <c r="H19" s="55"/>
      <c r="I19" s="55"/>
      <c r="J19" s="55"/>
      <c r="K19" s="55"/>
      <c r="L19" s="55"/>
      <c r="M19" s="17"/>
      <c r="N19" s="17"/>
      <c r="O19" s="17"/>
    </row>
    <row r="20" spans="1:15" x14ac:dyDescent="0.25">
      <c r="A20" s="17"/>
      <c r="B20" s="59" t="s">
        <v>67</v>
      </c>
      <c r="C20" s="50"/>
      <c r="D20" s="50"/>
      <c r="E20" s="50"/>
      <c r="F20" s="50"/>
      <c r="G20" s="50"/>
      <c r="H20" s="50"/>
      <c r="I20" s="50"/>
      <c r="J20" s="50"/>
      <c r="K20" s="50"/>
      <c r="L20" s="51"/>
      <c r="M20" s="17"/>
      <c r="N20" s="17"/>
      <c r="O20" s="17"/>
    </row>
    <row r="21" spans="1:15" x14ac:dyDescent="0.25">
      <c r="A21" s="17"/>
      <c r="B21" s="52"/>
      <c r="C21" s="53"/>
      <c r="D21" s="53"/>
      <c r="E21" s="53"/>
      <c r="F21" s="53"/>
      <c r="G21" s="53"/>
      <c r="H21" s="53"/>
      <c r="I21" s="53"/>
      <c r="J21" s="53"/>
      <c r="K21" s="53"/>
      <c r="L21" s="54"/>
      <c r="M21" s="17"/>
      <c r="N21" s="17"/>
      <c r="O21" s="17"/>
    </row>
    <row r="22" spans="1:15" ht="15" customHeight="1" x14ac:dyDescent="0.25">
      <c r="A22" s="17"/>
      <c r="B22" s="41" t="s">
        <v>97</v>
      </c>
      <c r="C22" s="42"/>
      <c r="D22" s="42"/>
      <c r="E22" s="42"/>
      <c r="F22" s="42"/>
      <c r="G22" s="42"/>
      <c r="H22" s="42"/>
      <c r="I22" s="42"/>
      <c r="J22" s="42"/>
      <c r="K22" s="42"/>
      <c r="L22" s="43"/>
      <c r="M22" s="17"/>
      <c r="N22" s="17"/>
      <c r="O22" s="17"/>
    </row>
    <row r="23" spans="1:15" ht="22.5" customHeight="1" x14ac:dyDescent="0.25">
      <c r="A23" s="17"/>
      <c r="B23" s="44"/>
      <c r="C23" s="45"/>
      <c r="D23" s="45"/>
      <c r="E23" s="45"/>
      <c r="F23" s="45"/>
      <c r="G23" s="45"/>
      <c r="H23" s="45"/>
      <c r="I23" s="45"/>
      <c r="J23" s="45"/>
      <c r="K23" s="45"/>
      <c r="L23" s="46"/>
      <c r="M23" s="17"/>
      <c r="N23" s="17"/>
      <c r="O23" s="17"/>
    </row>
    <row r="24" spans="1:15" ht="15" customHeight="1" x14ac:dyDescent="0.25">
      <c r="A24" s="17"/>
      <c r="B24" s="44"/>
      <c r="C24" s="45"/>
      <c r="D24" s="45"/>
      <c r="E24" s="45"/>
      <c r="F24" s="45"/>
      <c r="G24" s="45"/>
      <c r="H24" s="45"/>
      <c r="I24" s="45"/>
      <c r="J24" s="45"/>
      <c r="K24" s="45"/>
      <c r="L24" s="46"/>
      <c r="M24" s="17"/>
      <c r="N24" s="17"/>
      <c r="O24" s="17"/>
    </row>
    <row r="25" spans="1:15" ht="15" customHeight="1" x14ac:dyDescent="0.25">
      <c r="A25" s="17"/>
      <c r="B25" s="44"/>
      <c r="C25" s="45"/>
      <c r="D25" s="45"/>
      <c r="E25" s="45"/>
      <c r="F25" s="45"/>
      <c r="G25" s="45"/>
      <c r="H25" s="45"/>
      <c r="I25" s="45"/>
      <c r="J25" s="45"/>
      <c r="K25" s="45"/>
      <c r="L25" s="46"/>
      <c r="M25" s="17"/>
      <c r="N25" s="17"/>
      <c r="O25" s="17"/>
    </row>
    <row r="26" spans="1:15" ht="15" customHeight="1" x14ac:dyDescent="0.25">
      <c r="A26" s="17"/>
      <c r="B26" s="44"/>
      <c r="C26" s="45"/>
      <c r="D26" s="45"/>
      <c r="E26" s="45"/>
      <c r="F26" s="45"/>
      <c r="G26" s="45"/>
      <c r="H26" s="45"/>
      <c r="I26" s="45"/>
      <c r="J26" s="45"/>
      <c r="K26" s="45"/>
      <c r="L26" s="46"/>
      <c r="M26" s="17"/>
      <c r="N26" s="17"/>
      <c r="O26" s="17"/>
    </row>
    <row r="27" spans="1:15" ht="15" customHeight="1" x14ac:dyDescent="0.25">
      <c r="A27" s="17"/>
      <c r="B27" s="44"/>
      <c r="C27" s="45"/>
      <c r="D27" s="45"/>
      <c r="E27" s="45"/>
      <c r="F27" s="45"/>
      <c r="G27" s="45"/>
      <c r="H27" s="45"/>
      <c r="I27" s="45"/>
      <c r="J27" s="45"/>
      <c r="K27" s="45"/>
      <c r="L27" s="46"/>
      <c r="M27" s="17"/>
      <c r="N27" s="17"/>
      <c r="O27" s="17"/>
    </row>
    <row r="28" spans="1:15" ht="15" customHeight="1" x14ac:dyDescent="0.25">
      <c r="A28" s="17"/>
      <c r="B28" s="44"/>
      <c r="C28" s="45"/>
      <c r="D28" s="45"/>
      <c r="E28" s="45"/>
      <c r="F28" s="45"/>
      <c r="G28" s="45"/>
      <c r="H28" s="45"/>
      <c r="I28" s="45"/>
      <c r="J28" s="45"/>
      <c r="K28" s="45"/>
      <c r="L28" s="46"/>
      <c r="M28" s="17"/>
      <c r="N28" s="17"/>
      <c r="O28" s="17"/>
    </row>
    <row r="29" spans="1:15" ht="15" customHeight="1" x14ac:dyDescent="0.25">
      <c r="A29" s="17"/>
      <c r="B29" s="44"/>
      <c r="C29" s="45"/>
      <c r="D29" s="45"/>
      <c r="E29" s="45"/>
      <c r="F29" s="45"/>
      <c r="G29" s="45"/>
      <c r="H29" s="45"/>
      <c r="I29" s="45"/>
      <c r="J29" s="45"/>
      <c r="K29" s="45"/>
      <c r="L29" s="46"/>
      <c r="M29" s="17"/>
      <c r="N29" s="17"/>
      <c r="O29" s="17"/>
    </row>
    <row r="30" spans="1:15" ht="15" customHeight="1" x14ac:dyDescent="0.25">
      <c r="A30" s="17"/>
      <c r="B30" s="44"/>
      <c r="C30" s="45"/>
      <c r="D30" s="45"/>
      <c r="E30" s="45"/>
      <c r="F30" s="45"/>
      <c r="G30" s="45"/>
      <c r="H30" s="45"/>
      <c r="I30" s="45"/>
      <c r="J30" s="45"/>
      <c r="K30" s="45"/>
      <c r="L30" s="46"/>
      <c r="M30" s="17"/>
      <c r="N30" s="17"/>
      <c r="O30" s="17"/>
    </row>
    <row r="31" spans="1:15" ht="15" customHeight="1" x14ac:dyDescent="0.25">
      <c r="A31" s="17"/>
      <c r="B31" s="44"/>
      <c r="C31" s="45"/>
      <c r="D31" s="45"/>
      <c r="E31" s="45"/>
      <c r="F31" s="45"/>
      <c r="G31" s="45"/>
      <c r="H31" s="45"/>
      <c r="I31" s="45"/>
      <c r="J31" s="45"/>
      <c r="K31" s="45"/>
      <c r="L31" s="46"/>
      <c r="M31" s="17"/>
      <c r="N31" s="17"/>
      <c r="O31" s="17"/>
    </row>
    <row r="32" spans="1:15" ht="15" customHeight="1" x14ac:dyDescent="0.25">
      <c r="A32" s="17"/>
      <c r="B32" s="44"/>
      <c r="C32" s="45"/>
      <c r="D32" s="45"/>
      <c r="E32" s="45"/>
      <c r="F32" s="45"/>
      <c r="G32" s="45"/>
      <c r="H32" s="45"/>
      <c r="I32" s="45"/>
      <c r="J32" s="45"/>
      <c r="K32" s="45"/>
      <c r="L32" s="46"/>
      <c r="M32" s="17"/>
      <c r="N32" s="17"/>
      <c r="O32" s="17"/>
    </row>
    <row r="33" spans="1:15" ht="15" customHeight="1" x14ac:dyDescent="0.25">
      <c r="A33" s="17"/>
      <c r="B33" s="44"/>
      <c r="C33" s="45"/>
      <c r="D33" s="45"/>
      <c r="E33" s="45"/>
      <c r="F33" s="45"/>
      <c r="G33" s="45"/>
      <c r="H33" s="45"/>
      <c r="I33" s="45"/>
      <c r="J33" s="45"/>
      <c r="K33" s="45"/>
      <c r="L33" s="46"/>
      <c r="M33" s="17"/>
      <c r="N33" s="17"/>
      <c r="O33" s="17"/>
    </row>
    <row r="34" spans="1:15" x14ac:dyDescent="0.25">
      <c r="A34" s="17"/>
      <c r="B34" s="55"/>
      <c r="C34" s="55"/>
      <c r="D34" s="55"/>
      <c r="E34" s="55"/>
      <c r="F34" s="55"/>
      <c r="G34" s="55"/>
      <c r="H34" s="55"/>
      <c r="I34" s="55"/>
      <c r="J34" s="55"/>
      <c r="K34" s="55"/>
      <c r="L34" s="55"/>
      <c r="M34" s="17"/>
      <c r="N34" s="17"/>
      <c r="O34" s="17"/>
    </row>
    <row r="35" spans="1:15" x14ac:dyDescent="0.25">
      <c r="A35" s="17"/>
      <c r="B35" s="35" t="s">
        <v>72</v>
      </c>
      <c r="C35" s="50"/>
      <c r="D35" s="50"/>
      <c r="E35" s="50"/>
      <c r="F35" s="50"/>
      <c r="G35" s="50"/>
      <c r="H35" s="50"/>
      <c r="I35" s="50"/>
      <c r="J35" s="50"/>
      <c r="K35" s="50"/>
      <c r="L35" s="51"/>
      <c r="M35" s="17"/>
      <c r="N35" s="17"/>
      <c r="O35" s="17"/>
    </row>
    <row r="36" spans="1:15" ht="48.75" customHeight="1" x14ac:dyDescent="0.25">
      <c r="A36" s="17"/>
      <c r="B36" s="52"/>
      <c r="C36" s="53"/>
      <c r="D36" s="53"/>
      <c r="E36" s="53"/>
      <c r="F36" s="53"/>
      <c r="G36" s="53"/>
      <c r="H36" s="53"/>
      <c r="I36" s="53"/>
      <c r="J36" s="53"/>
      <c r="K36" s="53"/>
      <c r="L36" s="54"/>
      <c r="M36" s="17"/>
      <c r="N36" s="17"/>
      <c r="O36" s="17"/>
    </row>
    <row r="37" spans="1:15" x14ac:dyDescent="0.25">
      <c r="A37" s="17"/>
      <c r="B37" s="41" t="s">
        <v>98</v>
      </c>
      <c r="C37" s="42"/>
      <c r="D37" s="42"/>
      <c r="E37" s="42"/>
      <c r="F37" s="42"/>
      <c r="G37" s="42"/>
      <c r="H37" s="42"/>
      <c r="I37" s="42"/>
      <c r="J37" s="42"/>
      <c r="K37" s="42"/>
      <c r="L37" s="43"/>
      <c r="M37" s="17"/>
      <c r="N37" s="17"/>
      <c r="O37" s="17"/>
    </row>
    <row r="38" spans="1:15" x14ac:dyDescent="0.25">
      <c r="A38" s="17"/>
      <c r="B38" s="44"/>
      <c r="C38" s="45"/>
      <c r="D38" s="45"/>
      <c r="E38" s="45"/>
      <c r="F38" s="45"/>
      <c r="G38" s="45"/>
      <c r="H38" s="45"/>
      <c r="I38" s="45"/>
      <c r="J38" s="45"/>
      <c r="K38" s="45"/>
      <c r="L38" s="46"/>
      <c r="M38" s="17"/>
      <c r="N38" s="17"/>
      <c r="O38" s="17"/>
    </row>
    <row r="39" spans="1:15" x14ac:dyDescent="0.25">
      <c r="A39" s="17"/>
      <c r="B39" s="44"/>
      <c r="C39" s="45"/>
      <c r="D39" s="45"/>
      <c r="E39" s="45"/>
      <c r="F39" s="45"/>
      <c r="G39" s="45"/>
      <c r="H39" s="45"/>
      <c r="I39" s="45"/>
      <c r="J39" s="45"/>
      <c r="K39" s="45"/>
      <c r="L39" s="46"/>
      <c r="M39" s="17"/>
      <c r="N39" s="17"/>
      <c r="O39" s="17"/>
    </row>
    <row r="40" spans="1:15" x14ac:dyDescent="0.25">
      <c r="A40" s="17"/>
      <c r="B40" s="44"/>
      <c r="C40" s="45"/>
      <c r="D40" s="45"/>
      <c r="E40" s="45"/>
      <c r="F40" s="45"/>
      <c r="G40" s="45"/>
      <c r="H40" s="45"/>
      <c r="I40" s="45"/>
      <c r="J40" s="45"/>
      <c r="K40" s="45"/>
      <c r="L40" s="46"/>
      <c r="M40" s="17"/>
      <c r="N40" s="17"/>
      <c r="O40" s="17"/>
    </row>
    <row r="41" spans="1:15" x14ac:dyDescent="0.25">
      <c r="A41" s="17"/>
      <c r="B41" s="44"/>
      <c r="C41" s="45"/>
      <c r="D41" s="45"/>
      <c r="E41" s="45"/>
      <c r="F41" s="45"/>
      <c r="G41" s="45"/>
      <c r="H41" s="45"/>
      <c r="I41" s="45"/>
      <c r="J41" s="45"/>
      <c r="K41" s="45"/>
      <c r="L41" s="46"/>
      <c r="M41" s="17"/>
      <c r="N41" s="17"/>
      <c r="O41" s="17"/>
    </row>
    <row r="42" spans="1:15" x14ac:dyDescent="0.25">
      <c r="A42" s="17"/>
      <c r="B42" s="44"/>
      <c r="C42" s="45"/>
      <c r="D42" s="45"/>
      <c r="E42" s="45"/>
      <c r="F42" s="45"/>
      <c r="G42" s="45"/>
      <c r="H42" s="45"/>
      <c r="I42" s="45"/>
      <c r="J42" s="45"/>
      <c r="K42" s="45"/>
      <c r="L42" s="46"/>
      <c r="M42" s="17"/>
      <c r="N42" s="17"/>
      <c r="O42" s="17"/>
    </row>
    <row r="43" spans="1:15" x14ac:dyDescent="0.25">
      <c r="A43" s="17"/>
      <c r="B43" s="44"/>
      <c r="C43" s="45"/>
      <c r="D43" s="45"/>
      <c r="E43" s="45"/>
      <c r="F43" s="45"/>
      <c r="G43" s="45"/>
      <c r="H43" s="45"/>
      <c r="I43" s="45"/>
      <c r="J43" s="45"/>
      <c r="K43" s="45"/>
      <c r="L43" s="46"/>
      <c r="M43" s="17"/>
      <c r="N43" s="17"/>
      <c r="O43" s="17"/>
    </row>
    <row r="44" spans="1:15" ht="18.75" x14ac:dyDescent="0.25">
      <c r="A44" s="17"/>
      <c r="B44" s="70" t="s">
        <v>58</v>
      </c>
      <c r="C44" s="71"/>
      <c r="D44" s="71"/>
      <c r="E44" s="71"/>
      <c r="F44" s="71"/>
      <c r="G44" s="71"/>
      <c r="H44" s="71"/>
      <c r="I44" s="71"/>
      <c r="J44" s="71"/>
      <c r="K44" s="71"/>
      <c r="L44" s="72"/>
      <c r="M44" s="17"/>
      <c r="N44" s="17"/>
      <c r="O44" s="17"/>
    </row>
    <row r="45" spans="1:15" x14ac:dyDescent="0.25">
      <c r="A45" s="17"/>
      <c r="B45" s="41" t="s">
        <v>99</v>
      </c>
      <c r="C45" s="42"/>
      <c r="D45" s="42"/>
      <c r="E45" s="42"/>
      <c r="F45" s="42"/>
      <c r="G45" s="42"/>
      <c r="H45" s="42"/>
      <c r="I45" s="42"/>
      <c r="J45" s="42"/>
      <c r="K45" s="42"/>
      <c r="L45" s="43"/>
      <c r="M45" s="17"/>
      <c r="N45" s="17"/>
      <c r="O45" s="17"/>
    </row>
    <row r="46" spans="1:15" x14ac:dyDescent="0.25">
      <c r="A46" s="17"/>
      <c r="B46" s="44"/>
      <c r="C46" s="45"/>
      <c r="D46" s="45"/>
      <c r="E46" s="45"/>
      <c r="F46" s="45"/>
      <c r="G46" s="45"/>
      <c r="H46" s="45"/>
      <c r="I46" s="45"/>
      <c r="J46" s="45"/>
      <c r="K46" s="45"/>
      <c r="L46" s="46"/>
      <c r="M46" s="17"/>
      <c r="N46" s="17"/>
      <c r="O46" s="17"/>
    </row>
    <row r="47" spans="1:15" x14ac:dyDescent="0.25">
      <c r="A47" s="17"/>
      <c r="B47" s="44"/>
      <c r="C47" s="45"/>
      <c r="D47" s="45"/>
      <c r="E47" s="45"/>
      <c r="F47" s="45"/>
      <c r="G47" s="45"/>
      <c r="H47" s="45"/>
      <c r="I47" s="45"/>
      <c r="J47" s="45"/>
      <c r="K47" s="45"/>
      <c r="L47" s="46"/>
      <c r="M47" s="17"/>
      <c r="N47" s="17"/>
      <c r="O47" s="17"/>
    </row>
    <row r="48" spans="1:15" x14ac:dyDescent="0.25">
      <c r="A48" s="17"/>
      <c r="B48" s="44"/>
      <c r="C48" s="45"/>
      <c r="D48" s="45"/>
      <c r="E48" s="45"/>
      <c r="F48" s="45"/>
      <c r="G48" s="45"/>
      <c r="H48" s="45"/>
      <c r="I48" s="45"/>
      <c r="J48" s="45"/>
      <c r="K48" s="45"/>
      <c r="L48" s="46"/>
      <c r="M48" s="17"/>
      <c r="N48" s="17"/>
      <c r="O48" s="17"/>
    </row>
    <row r="49" spans="1:15" x14ac:dyDescent="0.25">
      <c r="A49" s="17"/>
      <c r="B49" s="44"/>
      <c r="C49" s="45"/>
      <c r="D49" s="45"/>
      <c r="E49" s="45"/>
      <c r="F49" s="45"/>
      <c r="G49" s="45"/>
      <c r="H49" s="45"/>
      <c r="I49" s="45"/>
      <c r="J49" s="45"/>
      <c r="K49" s="45"/>
      <c r="L49" s="46"/>
      <c r="M49" s="17"/>
      <c r="N49" s="17"/>
      <c r="O49" s="17"/>
    </row>
    <row r="50" spans="1:15" x14ac:dyDescent="0.25">
      <c r="A50" s="17"/>
      <c r="B50" s="44"/>
      <c r="C50" s="45"/>
      <c r="D50" s="45"/>
      <c r="E50" s="45"/>
      <c r="F50" s="45"/>
      <c r="G50" s="45"/>
      <c r="H50" s="45"/>
      <c r="I50" s="45"/>
      <c r="J50" s="45"/>
      <c r="K50" s="45"/>
      <c r="L50" s="46"/>
      <c r="M50" s="17"/>
      <c r="N50" s="17"/>
      <c r="O50" s="17"/>
    </row>
    <row r="51" spans="1:15" x14ac:dyDescent="0.25">
      <c r="A51" s="17"/>
      <c r="B51" s="44"/>
      <c r="C51" s="45"/>
      <c r="D51" s="45"/>
      <c r="E51" s="45"/>
      <c r="F51" s="45"/>
      <c r="G51" s="45"/>
      <c r="H51" s="45"/>
      <c r="I51" s="45"/>
      <c r="J51" s="45"/>
      <c r="K51" s="45"/>
      <c r="L51" s="46"/>
      <c r="M51" s="17"/>
      <c r="N51" s="17"/>
      <c r="O51" s="17"/>
    </row>
    <row r="52" spans="1:15" x14ac:dyDescent="0.25">
      <c r="A52" s="17"/>
      <c r="B52" s="44"/>
      <c r="C52" s="45"/>
      <c r="D52" s="45"/>
      <c r="E52" s="45"/>
      <c r="F52" s="45"/>
      <c r="G52" s="45"/>
      <c r="H52" s="45"/>
      <c r="I52" s="45"/>
      <c r="J52" s="45"/>
      <c r="K52" s="45"/>
      <c r="L52" s="46"/>
      <c r="M52" s="17"/>
      <c r="N52" s="17"/>
      <c r="O52" s="17"/>
    </row>
    <row r="53" spans="1:15" x14ac:dyDescent="0.25">
      <c r="A53" s="17"/>
      <c r="B53" s="44"/>
      <c r="C53" s="45"/>
      <c r="D53" s="45"/>
      <c r="E53" s="45"/>
      <c r="F53" s="45"/>
      <c r="G53" s="45"/>
      <c r="H53" s="45"/>
      <c r="I53" s="45"/>
      <c r="J53" s="45"/>
      <c r="K53" s="45"/>
      <c r="L53" s="46"/>
      <c r="M53" s="17"/>
      <c r="N53" s="17"/>
      <c r="O53" s="17"/>
    </row>
    <row r="54" spans="1:15" x14ac:dyDescent="0.25">
      <c r="A54" s="17"/>
      <c r="B54" s="44"/>
      <c r="C54" s="45"/>
      <c r="D54" s="45"/>
      <c r="E54" s="45"/>
      <c r="F54" s="45"/>
      <c r="G54" s="45"/>
      <c r="H54" s="45"/>
      <c r="I54" s="45"/>
      <c r="J54" s="45"/>
      <c r="K54" s="45"/>
      <c r="L54" s="46"/>
      <c r="M54" s="17"/>
      <c r="N54" s="17"/>
      <c r="O54" s="17"/>
    </row>
    <row r="55" spans="1:15" x14ac:dyDescent="0.25">
      <c r="A55" s="17"/>
      <c r="B55" s="44"/>
      <c r="C55" s="45"/>
      <c r="D55" s="45"/>
      <c r="E55" s="45"/>
      <c r="F55" s="45"/>
      <c r="G55" s="45"/>
      <c r="H55" s="45"/>
      <c r="I55" s="45"/>
      <c r="J55" s="45"/>
      <c r="K55" s="45"/>
      <c r="L55" s="46"/>
      <c r="M55" s="17"/>
      <c r="N55" s="17"/>
      <c r="O55" s="17"/>
    </row>
    <row r="56" spans="1:15" x14ac:dyDescent="0.25">
      <c r="A56" s="17"/>
      <c r="B56" s="44"/>
      <c r="C56" s="45"/>
      <c r="D56" s="45"/>
      <c r="E56" s="45"/>
      <c r="F56" s="45"/>
      <c r="G56" s="45"/>
      <c r="H56" s="45"/>
      <c r="I56" s="45"/>
      <c r="J56" s="45"/>
      <c r="K56" s="45"/>
      <c r="L56" s="46"/>
      <c r="M56" s="17"/>
      <c r="N56" s="17"/>
      <c r="O56" s="17"/>
    </row>
    <row r="57" spans="1:15" x14ac:dyDescent="0.25">
      <c r="A57" s="17"/>
      <c r="B57" s="44"/>
      <c r="C57" s="45"/>
      <c r="D57" s="45"/>
      <c r="E57" s="45"/>
      <c r="F57" s="45"/>
      <c r="G57" s="45"/>
      <c r="H57" s="45"/>
      <c r="I57" s="45"/>
      <c r="J57" s="45"/>
      <c r="K57" s="45"/>
      <c r="L57" s="46"/>
      <c r="M57" s="17"/>
      <c r="N57" s="17"/>
      <c r="O57" s="17"/>
    </row>
    <row r="58" spans="1:15" ht="18.75" x14ac:dyDescent="0.25">
      <c r="A58" s="17"/>
      <c r="B58" s="70" t="s">
        <v>59</v>
      </c>
      <c r="C58" s="71"/>
      <c r="D58" s="71"/>
      <c r="E58" s="71"/>
      <c r="F58" s="71"/>
      <c r="G58" s="71"/>
      <c r="H58" s="71"/>
      <c r="I58" s="71"/>
      <c r="J58" s="71"/>
      <c r="K58" s="71"/>
      <c r="L58" s="72"/>
      <c r="M58" s="17"/>
      <c r="N58" s="17"/>
      <c r="O58" s="17"/>
    </row>
    <row r="59" spans="1:15" x14ac:dyDescent="0.25">
      <c r="A59" s="17"/>
      <c r="B59" s="41" t="s">
        <v>100</v>
      </c>
      <c r="C59" s="42"/>
      <c r="D59" s="42"/>
      <c r="E59" s="42"/>
      <c r="F59" s="42"/>
      <c r="G59" s="42"/>
      <c r="H59" s="42"/>
      <c r="I59" s="42"/>
      <c r="J59" s="42"/>
      <c r="K59" s="42"/>
      <c r="L59" s="43"/>
      <c r="M59" s="17"/>
      <c r="N59" s="17"/>
      <c r="O59" s="17"/>
    </row>
    <row r="60" spans="1:15" x14ac:dyDescent="0.25">
      <c r="A60" s="17"/>
      <c r="B60" s="44"/>
      <c r="C60" s="45"/>
      <c r="D60" s="45"/>
      <c r="E60" s="45"/>
      <c r="F60" s="45"/>
      <c r="G60" s="45"/>
      <c r="H60" s="45"/>
      <c r="I60" s="45"/>
      <c r="J60" s="45"/>
      <c r="K60" s="45"/>
      <c r="L60" s="46"/>
      <c r="M60" s="17"/>
      <c r="N60" s="17"/>
      <c r="O60" s="17"/>
    </row>
    <row r="61" spans="1:15" x14ac:dyDescent="0.25">
      <c r="A61" s="17"/>
      <c r="B61" s="44"/>
      <c r="C61" s="45"/>
      <c r="D61" s="45"/>
      <c r="E61" s="45"/>
      <c r="F61" s="45"/>
      <c r="G61" s="45"/>
      <c r="H61" s="45"/>
      <c r="I61" s="45"/>
      <c r="J61" s="45"/>
      <c r="K61" s="45"/>
      <c r="L61" s="46"/>
      <c r="M61" s="17"/>
      <c r="N61" s="17"/>
      <c r="O61" s="17"/>
    </row>
    <row r="62" spans="1:15" x14ac:dyDescent="0.25">
      <c r="A62" s="17"/>
      <c r="B62" s="44"/>
      <c r="C62" s="45"/>
      <c r="D62" s="45"/>
      <c r="E62" s="45"/>
      <c r="F62" s="45"/>
      <c r="G62" s="45"/>
      <c r="H62" s="45"/>
      <c r="I62" s="45"/>
      <c r="J62" s="45"/>
      <c r="K62" s="45"/>
      <c r="L62" s="46"/>
      <c r="M62" s="17"/>
      <c r="N62" s="17"/>
      <c r="O62" s="17"/>
    </row>
    <row r="63" spans="1:15" x14ac:dyDescent="0.25">
      <c r="A63" s="17"/>
      <c r="B63" s="44"/>
      <c r="C63" s="45"/>
      <c r="D63" s="45"/>
      <c r="E63" s="45"/>
      <c r="F63" s="45"/>
      <c r="G63" s="45"/>
      <c r="H63" s="45"/>
      <c r="I63" s="45"/>
      <c r="J63" s="45"/>
      <c r="K63" s="45"/>
      <c r="L63" s="46"/>
      <c r="M63" s="17"/>
      <c r="N63" s="17"/>
      <c r="O63" s="17"/>
    </row>
    <row r="64" spans="1:15" x14ac:dyDescent="0.25">
      <c r="A64" s="17"/>
      <c r="B64" s="44"/>
      <c r="C64" s="45"/>
      <c r="D64" s="45"/>
      <c r="E64" s="45"/>
      <c r="F64" s="45"/>
      <c r="G64" s="45"/>
      <c r="H64" s="45"/>
      <c r="I64" s="45"/>
      <c r="J64" s="45"/>
      <c r="K64" s="45"/>
      <c r="L64" s="46"/>
      <c r="M64" s="17"/>
      <c r="N64" s="17"/>
      <c r="O64" s="17"/>
    </row>
    <row r="65" spans="1:15" x14ac:dyDescent="0.25">
      <c r="A65" s="17"/>
      <c r="B65" s="44"/>
      <c r="C65" s="45"/>
      <c r="D65" s="45"/>
      <c r="E65" s="45"/>
      <c r="F65" s="45"/>
      <c r="G65" s="45"/>
      <c r="H65" s="45"/>
      <c r="I65" s="45"/>
      <c r="J65" s="45"/>
      <c r="K65" s="45"/>
      <c r="L65" s="46"/>
      <c r="M65" s="17"/>
      <c r="N65" s="17"/>
      <c r="O65" s="17"/>
    </row>
    <row r="66" spans="1:15" x14ac:dyDescent="0.25">
      <c r="A66" s="17"/>
      <c r="B66" s="44"/>
      <c r="C66" s="45"/>
      <c r="D66" s="45"/>
      <c r="E66" s="45"/>
      <c r="F66" s="45"/>
      <c r="G66" s="45"/>
      <c r="H66" s="45"/>
      <c r="I66" s="45"/>
      <c r="J66" s="45"/>
      <c r="K66" s="45"/>
      <c r="L66" s="46"/>
      <c r="M66" s="17"/>
      <c r="N66" s="17"/>
      <c r="O66" s="17"/>
    </row>
    <row r="67" spans="1:15" x14ac:dyDescent="0.25">
      <c r="A67" s="17"/>
      <c r="B67" s="44"/>
      <c r="C67" s="45"/>
      <c r="D67" s="45"/>
      <c r="E67" s="45"/>
      <c r="F67" s="45"/>
      <c r="G67" s="45"/>
      <c r="H67" s="45"/>
      <c r="I67" s="45"/>
      <c r="J67" s="45"/>
      <c r="K67" s="45"/>
      <c r="L67" s="46"/>
      <c r="M67" s="17"/>
      <c r="N67" s="17"/>
      <c r="O67" s="17"/>
    </row>
    <row r="68" spans="1:15" x14ac:dyDescent="0.25">
      <c r="A68" s="17"/>
      <c r="B68" s="44"/>
      <c r="C68" s="45"/>
      <c r="D68" s="45"/>
      <c r="E68" s="45"/>
      <c r="F68" s="45"/>
      <c r="G68" s="45"/>
      <c r="H68" s="45"/>
      <c r="I68" s="45"/>
      <c r="J68" s="45"/>
      <c r="K68" s="45"/>
      <c r="L68" s="46"/>
      <c r="M68" s="17"/>
      <c r="N68" s="17"/>
      <c r="O68" s="17"/>
    </row>
    <row r="69" spans="1:15" x14ac:dyDescent="0.25">
      <c r="A69" s="17"/>
      <c r="B69" s="47"/>
      <c r="C69" s="48"/>
      <c r="D69" s="48"/>
      <c r="E69" s="48"/>
      <c r="F69" s="48"/>
      <c r="G69" s="48"/>
      <c r="H69" s="48"/>
      <c r="I69" s="48"/>
      <c r="J69" s="48"/>
      <c r="K69" s="48"/>
      <c r="L69" s="49"/>
      <c r="M69" s="17"/>
      <c r="N69" s="17"/>
      <c r="O69" s="17"/>
    </row>
    <row r="70" spans="1:15" x14ac:dyDescent="0.25">
      <c r="A70" s="17"/>
      <c r="B70" s="27"/>
      <c r="C70" s="27"/>
      <c r="D70" s="27"/>
      <c r="E70" s="27"/>
      <c r="F70" s="27"/>
      <c r="G70" s="27"/>
      <c r="H70" s="27"/>
      <c r="I70" s="27"/>
      <c r="J70" s="27"/>
      <c r="K70" s="27"/>
      <c r="L70" s="27"/>
      <c r="M70" s="17"/>
      <c r="N70" s="17"/>
      <c r="O70" s="17"/>
    </row>
    <row r="71" spans="1:15" x14ac:dyDescent="0.25">
      <c r="A71" s="17"/>
      <c r="B71" s="35" t="s">
        <v>60</v>
      </c>
      <c r="C71" s="36"/>
      <c r="D71" s="36"/>
      <c r="E71" s="36"/>
      <c r="F71" s="36"/>
      <c r="G71" s="36"/>
      <c r="H71" s="36"/>
      <c r="I71" s="36"/>
      <c r="J71" s="36"/>
      <c r="K71" s="36"/>
      <c r="L71" s="37"/>
      <c r="M71" s="17"/>
      <c r="N71" s="17"/>
      <c r="O71" s="17"/>
    </row>
    <row r="72" spans="1:15" x14ac:dyDescent="0.25">
      <c r="A72" s="17"/>
      <c r="B72" s="38"/>
      <c r="C72" s="39"/>
      <c r="D72" s="39"/>
      <c r="E72" s="39"/>
      <c r="F72" s="39"/>
      <c r="G72" s="39"/>
      <c r="H72" s="39"/>
      <c r="I72" s="39"/>
      <c r="J72" s="39"/>
      <c r="K72" s="39"/>
      <c r="L72" s="40"/>
      <c r="M72" s="17"/>
      <c r="N72" s="17"/>
      <c r="O72" s="17"/>
    </row>
    <row r="73" spans="1:15" x14ac:dyDescent="0.25">
      <c r="A73" s="17"/>
      <c r="B73" s="41" t="s">
        <v>101</v>
      </c>
      <c r="C73" s="42"/>
      <c r="D73" s="42"/>
      <c r="E73" s="42"/>
      <c r="F73" s="42"/>
      <c r="G73" s="42"/>
      <c r="H73" s="42"/>
      <c r="I73" s="42"/>
      <c r="J73" s="42"/>
      <c r="K73" s="42"/>
      <c r="L73" s="43"/>
      <c r="M73" s="17"/>
      <c r="N73" s="17"/>
      <c r="O73" s="17"/>
    </row>
    <row r="74" spans="1:15" x14ac:dyDescent="0.25">
      <c r="A74" s="17"/>
      <c r="B74" s="44"/>
      <c r="C74" s="45"/>
      <c r="D74" s="45"/>
      <c r="E74" s="45"/>
      <c r="F74" s="45"/>
      <c r="G74" s="45"/>
      <c r="H74" s="45"/>
      <c r="I74" s="45"/>
      <c r="J74" s="45"/>
      <c r="K74" s="45"/>
      <c r="L74" s="46"/>
      <c r="M74" s="17"/>
      <c r="N74" s="17"/>
      <c r="O74" s="17"/>
    </row>
    <row r="75" spans="1:15" x14ac:dyDescent="0.25">
      <c r="A75" s="17"/>
      <c r="B75" s="44"/>
      <c r="C75" s="45"/>
      <c r="D75" s="45"/>
      <c r="E75" s="45"/>
      <c r="F75" s="45"/>
      <c r="G75" s="45"/>
      <c r="H75" s="45"/>
      <c r="I75" s="45"/>
      <c r="J75" s="45"/>
      <c r="K75" s="45"/>
      <c r="L75" s="46"/>
      <c r="M75" s="17"/>
      <c r="N75" s="17"/>
      <c r="O75" s="17"/>
    </row>
    <row r="76" spans="1:15" x14ac:dyDescent="0.25">
      <c r="A76" s="17"/>
      <c r="B76" s="44"/>
      <c r="C76" s="45"/>
      <c r="D76" s="45"/>
      <c r="E76" s="45"/>
      <c r="F76" s="45"/>
      <c r="G76" s="45"/>
      <c r="H76" s="45"/>
      <c r="I76" s="45"/>
      <c r="J76" s="45"/>
      <c r="K76" s="45"/>
      <c r="L76" s="46"/>
      <c r="M76" s="17"/>
      <c r="N76" s="17"/>
      <c r="O76" s="17"/>
    </row>
    <row r="77" spans="1:15" x14ac:dyDescent="0.25">
      <c r="A77" s="17"/>
      <c r="B77" s="44"/>
      <c r="C77" s="45"/>
      <c r="D77" s="45"/>
      <c r="E77" s="45"/>
      <c r="F77" s="45"/>
      <c r="G77" s="45"/>
      <c r="H77" s="45"/>
      <c r="I77" s="45"/>
      <c r="J77" s="45"/>
      <c r="K77" s="45"/>
      <c r="L77" s="46"/>
      <c r="M77" s="17"/>
      <c r="N77" s="17"/>
      <c r="O77" s="17"/>
    </row>
    <row r="78" spans="1:15" x14ac:dyDescent="0.25">
      <c r="A78" s="17"/>
      <c r="B78" s="44"/>
      <c r="C78" s="45"/>
      <c r="D78" s="45"/>
      <c r="E78" s="45"/>
      <c r="F78" s="45"/>
      <c r="G78" s="45"/>
      <c r="H78" s="45"/>
      <c r="I78" s="45"/>
      <c r="J78" s="45"/>
      <c r="K78" s="45"/>
      <c r="L78" s="46"/>
      <c r="M78" s="17"/>
      <c r="N78" s="17"/>
      <c r="O78" s="17"/>
    </row>
    <row r="79" spans="1:15" x14ac:dyDescent="0.25">
      <c r="A79" s="17"/>
      <c r="B79" s="44"/>
      <c r="C79" s="45"/>
      <c r="D79" s="45"/>
      <c r="E79" s="45"/>
      <c r="F79" s="45"/>
      <c r="G79" s="45"/>
      <c r="H79" s="45"/>
      <c r="I79" s="45"/>
      <c r="J79" s="45"/>
      <c r="K79" s="45"/>
      <c r="L79" s="46"/>
      <c r="M79" s="17"/>
      <c r="N79" s="17"/>
      <c r="O79" s="17"/>
    </row>
    <row r="80" spans="1:15" x14ac:dyDescent="0.25">
      <c r="A80" s="17"/>
      <c r="B80" s="47"/>
      <c r="C80" s="48"/>
      <c r="D80" s="48"/>
      <c r="E80" s="48"/>
      <c r="F80" s="48"/>
      <c r="G80" s="48"/>
      <c r="H80" s="48"/>
      <c r="I80" s="48"/>
      <c r="J80" s="48"/>
      <c r="K80" s="48"/>
      <c r="L80" s="49"/>
      <c r="M80" s="17"/>
      <c r="N80" s="17"/>
      <c r="O80" s="17"/>
    </row>
    <row r="81" spans="1:15" x14ac:dyDescent="0.25">
      <c r="A81" s="17"/>
      <c r="B81" s="27"/>
      <c r="C81" s="27"/>
      <c r="D81" s="27"/>
      <c r="E81" s="27"/>
      <c r="F81" s="27"/>
      <c r="G81" s="27"/>
      <c r="H81" s="27"/>
      <c r="I81" s="27"/>
      <c r="J81" s="27"/>
      <c r="K81" s="27"/>
      <c r="L81" s="27"/>
      <c r="M81" s="17"/>
      <c r="N81" s="17"/>
      <c r="O81" s="17"/>
    </row>
    <row r="82" spans="1:15" ht="21" customHeight="1" x14ac:dyDescent="0.25">
      <c r="A82" s="17"/>
      <c r="B82" s="35" t="s">
        <v>61</v>
      </c>
      <c r="C82" s="50"/>
      <c r="D82" s="50"/>
      <c r="E82" s="50"/>
      <c r="F82" s="50"/>
      <c r="G82" s="50"/>
      <c r="H82" s="50"/>
      <c r="I82" s="50"/>
      <c r="J82" s="50"/>
      <c r="K82" s="50"/>
      <c r="L82" s="51"/>
      <c r="M82" s="17"/>
      <c r="N82" s="17"/>
      <c r="O82" s="17"/>
    </row>
    <row r="83" spans="1:15" ht="21" customHeight="1" x14ac:dyDescent="0.25">
      <c r="A83" s="17"/>
      <c r="B83" s="52"/>
      <c r="C83" s="53"/>
      <c r="D83" s="53"/>
      <c r="E83" s="53"/>
      <c r="F83" s="53"/>
      <c r="G83" s="53"/>
      <c r="H83" s="53"/>
      <c r="I83" s="53"/>
      <c r="J83" s="53"/>
      <c r="K83" s="53"/>
      <c r="L83" s="54"/>
      <c r="M83" s="17"/>
      <c r="N83" s="17"/>
      <c r="O83" s="17"/>
    </row>
    <row r="84" spans="1:15" x14ac:dyDescent="0.25">
      <c r="A84" s="17"/>
      <c r="B84" s="41" t="s">
        <v>68</v>
      </c>
      <c r="C84" s="42"/>
      <c r="D84" s="42"/>
      <c r="E84" s="42"/>
      <c r="F84" s="42"/>
      <c r="G84" s="42"/>
      <c r="H84" s="42"/>
      <c r="I84" s="42"/>
      <c r="J84" s="42"/>
      <c r="K84" s="42"/>
      <c r="L84" s="43"/>
      <c r="M84" s="17"/>
      <c r="N84" s="17"/>
      <c r="O84" s="17"/>
    </row>
    <row r="85" spans="1:15" x14ac:dyDescent="0.25">
      <c r="A85" s="17"/>
      <c r="B85" s="44"/>
      <c r="C85" s="45"/>
      <c r="D85" s="45"/>
      <c r="E85" s="45"/>
      <c r="F85" s="45"/>
      <c r="G85" s="45"/>
      <c r="H85" s="45"/>
      <c r="I85" s="45"/>
      <c r="J85" s="45"/>
      <c r="K85" s="45"/>
      <c r="L85" s="46"/>
      <c r="M85" s="17"/>
      <c r="N85" s="17"/>
      <c r="O85" s="17"/>
    </row>
    <row r="86" spans="1:15" x14ac:dyDescent="0.25">
      <c r="A86" s="17"/>
      <c r="B86" s="44"/>
      <c r="C86" s="45"/>
      <c r="D86" s="45"/>
      <c r="E86" s="45"/>
      <c r="F86" s="45"/>
      <c r="G86" s="45"/>
      <c r="H86" s="45"/>
      <c r="I86" s="45"/>
      <c r="J86" s="45"/>
      <c r="K86" s="45"/>
      <c r="L86" s="46"/>
      <c r="M86" s="17"/>
      <c r="N86" s="17"/>
      <c r="O86" s="17"/>
    </row>
    <row r="87" spans="1:15" x14ac:dyDescent="0.25">
      <c r="A87" s="17"/>
      <c r="B87" s="44"/>
      <c r="C87" s="45"/>
      <c r="D87" s="45"/>
      <c r="E87" s="45"/>
      <c r="F87" s="45"/>
      <c r="G87" s="45"/>
      <c r="H87" s="45"/>
      <c r="I87" s="45"/>
      <c r="J87" s="45"/>
      <c r="K87" s="45"/>
      <c r="L87" s="46"/>
      <c r="M87" s="17"/>
      <c r="N87" s="17"/>
      <c r="O87" s="17"/>
    </row>
    <row r="88" spans="1:15" x14ac:dyDescent="0.25">
      <c r="A88" s="17"/>
      <c r="B88" s="44"/>
      <c r="C88" s="45"/>
      <c r="D88" s="45"/>
      <c r="E88" s="45"/>
      <c r="F88" s="45"/>
      <c r="G88" s="45"/>
      <c r="H88" s="45"/>
      <c r="I88" s="45"/>
      <c r="J88" s="45"/>
      <c r="K88" s="45"/>
      <c r="L88" s="46"/>
      <c r="M88" s="17"/>
      <c r="N88" s="17"/>
      <c r="O88" s="17"/>
    </row>
    <row r="89" spans="1:15" x14ac:dyDescent="0.25">
      <c r="A89" s="17"/>
      <c r="B89" s="44"/>
      <c r="C89" s="45"/>
      <c r="D89" s="45"/>
      <c r="E89" s="45"/>
      <c r="F89" s="45"/>
      <c r="G89" s="45"/>
      <c r="H89" s="45"/>
      <c r="I89" s="45"/>
      <c r="J89" s="45"/>
      <c r="K89" s="45"/>
      <c r="L89" s="46"/>
      <c r="M89" s="17"/>
      <c r="N89" s="17"/>
      <c r="O89" s="17"/>
    </row>
    <row r="90" spans="1:15" x14ac:dyDescent="0.25">
      <c r="A90" s="17"/>
      <c r="B90" s="44"/>
      <c r="C90" s="45"/>
      <c r="D90" s="45"/>
      <c r="E90" s="45"/>
      <c r="F90" s="45"/>
      <c r="G90" s="45"/>
      <c r="H90" s="45"/>
      <c r="I90" s="45"/>
      <c r="J90" s="45"/>
      <c r="K90" s="45"/>
      <c r="L90" s="46"/>
      <c r="M90" s="17"/>
      <c r="N90" s="17"/>
      <c r="O90" s="17"/>
    </row>
    <row r="91" spans="1:15" x14ac:dyDescent="0.25">
      <c r="A91" s="17"/>
      <c r="B91" s="47"/>
      <c r="C91" s="48"/>
      <c r="D91" s="48"/>
      <c r="E91" s="48"/>
      <c r="F91" s="48"/>
      <c r="G91" s="48"/>
      <c r="H91" s="48"/>
      <c r="I91" s="48"/>
      <c r="J91" s="48"/>
      <c r="K91" s="48"/>
      <c r="L91" s="49"/>
      <c r="M91" s="17"/>
      <c r="N91" s="17"/>
      <c r="O91" s="17"/>
    </row>
    <row r="92" spans="1:15" ht="15.75" x14ac:dyDescent="0.25">
      <c r="A92" s="17"/>
      <c r="B92" s="28"/>
      <c r="C92" s="29"/>
      <c r="D92" s="29"/>
      <c r="E92" s="29"/>
      <c r="F92" s="29"/>
      <c r="G92" s="29"/>
      <c r="H92" s="29"/>
      <c r="I92" s="29"/>
      <c r="J92" s="29"/>
      <c r="K92" s="29"/>
      <c r="L92" s="30"/>
      <c r="M92" s="17"/>
      <c r="N92" s="17"/>
      <c r="O92" s="17"/>
    </row>
    <row r="93" spans="1:15" ht="21" customHeight="1" x14ac:dyDescent="0.25">
      <c r="A93" s="17"/>
      <c r="B93" s="35" t="s">
        <v>62</v>
      </c>
      <c r="C93" s="50"/>
      <c r="D93" s="50"/>
      <c r="E93" s="50"/>
      <c r="F93" s="50"/>
      <c r="G93" s="50"/>
      <c r="H93" s="50"/>
      <c r="I93" s="50"/>
      <c r="J93" s="50"/>
      <c r="K93" s="50"/>
      <c r="L93" s="51"/>
      <c r="M93" s="17"/>
      <c r="N93" s="17"/>
      <c r="O93" s="17"/>
    </row>
    <row r="94" spans="1:15" ht="21" customHeight="1" x14ac:dyDescent="0.25">
      <c r="A94" s="17"/>
      <c r="B94" s="52"/>
      <c r="C94" s="53"/>
      <c r="D94" s="53"/>
      <c r="E94" s="53"/>
      <c r="F94" s="53"/>
      <c r="G94" s="53"/>
      <c r="H94" s="53"/>
      <c r="I94" s="53"/>
      <c r="J94" s="53"/>
      <c r="K94" s="53"/>
      <c r="L94" s="54"/>
      <c r="M94" s="17"/>
      <c r="N94" s="17"/>
      <c r="O94" s="17"/>
    </row>
    <row r="95" spans="1:15" x14ac:dyDescent="0.25">
      <c r="A95" s="17"/>
      <c r="B95" s="41" t="s">
        <v>69</v>
      </c>
      <c r="C95" s="42"/>
      <c r="D95" s="42"/>
      <c r="E95" s="42"/>
      <c r="F95" s="42"/>
      <c r="G95" s="42"/>
      <c r="H95" s="42"/>
      <c r="I95" s="42"/>
      <c r="J95" s="42"/>
      <c r="K95" s="42"/>
      <c r="L95" s="43"/>
      <c r="M95" s="17"/>
      <c r="N95" s="17"/>
      <c r="O95" s="17"/>
    </row>
    <row r="96" spans="1:15" x14ac:dyDescent="0.25">
      <c r="A96" s="17"/>
      <c r="B96" s="44"/>
      <c r="C96" s="45"/>
      <c r="D96" s="45"/>
      <c r="E96" s="45"/>
      <c r="F96" s="45"/>
      <c r="G96" s="45"/>
      <c r="H96" s="45"/>
      <c r="I96" s="45"/>
      <c r="J96" s="45"/>
      <c r="K96" s="45"/>
      <c r="L96" s="46"/>
      <c r="M96" s="17"/>
      <c r="N96" s="17"/>
      <c r="O96" s="17"/>
    </row>
    <row r="97" spans="1:15" x14ac:dyDescent="0.25">
      <c r="A97" s="17"/>
      <c r="B97" s="44"/>
      <c r="C97" s="45"/>
      <c r="D97" s="45"/>
      <c r="E97" s="45"/>
      <c r="F97" s="45"/>
      <c r="G97" s="45"/>
      <c r="H97" s="45"/>
      <c r="I97" s="45"/>
      <c r="J97" s="45"/>
      <c r="K97" s="45"/>
      <c r="L97" s="46"/>
      <c r="M97" s="17"/>
      <c r="N97" s="17"/>
      <c r="O97" s="17"/>
    </row>
    <row r="98" spans="1:15" x14ac:dyDescent="0.25">
      <c r="A98" s="17"/>
      <c r="B98" s="44"/>
      <c r="C98" s="45"/>
      <c r="D98" s="45"/>
      <c r="E98" s="45"/>
      <c r="F98" s="45"/>
      <c r="G98" s="45"/>
      <c r="H98" s="45"/>
      <c r="I98" s="45"/>
      <c r="J98" s="45"/>
      <c r="K98" s="45"/>
      <c r="L98" s="46"/>
      <c r="M98" s="17"/>
      <c r="N98" s="17"/>
      <c r="O98" s="17"/>
    </row>
    <row r="99" spans="1:15" x14ac:dyDescent="0.25">
      <c r="A99" s="17"/>
      <c r="B99" s="44"/>
      <c r="C99" s="45"/>
      <c r="D99" s="45"/>
      <c r="E99" s="45"/>
      <c r="F99" s="45"/>
      <c r="G99" s="45"/>
      <c r="H99" s="45"/>
      <c r="I99" s="45"/>
      <c r="J99" s="45"/>
      <c r="K99" s="45"/>
      <c r="L99" s="46"/>
      <c r="M99" s="17"/>
      <c r="N99" s="17"/>
      <c r="O99" s="17"/>
    </row>
    <row r="100" spans="1:15" x14ac:dyDescent="0.25">
      <c r="A100" s="17"/>
      <c r="B100" s="44"/>
      <c r="C100" s="45"/>
      <c r="D100" s="45"/>
      <c r="E100" s="45"/>
      <c r="F100" s="45"/>
      <c r="G100" s="45"/>
      <c r="H100" s="45"/>
      <c r="I100" s="45"/>
      <c r="J100" s="45"/>
      <c r="K100" s="45"/>
      <c r="L100" s="46"/>
      <c r="M100" s="17"/>
      <c r="N100" s="17"/>
      <c r="O100" s="17"/>
    </row>
    <row r="101" spans="1:15" x14ac:dyDescent="0.25">
      <c r="A101" s="17"/>
      <c r="B101" s="44"/>
      <c r="C101" s="45"/>
      <c r="D101" s="45"/>
      <c r="E101" s="45"/>
      <c r="F101" s="45"/>
      <c r="G101" s="45"/>
      <c r="H101" s="45"/>
      <c r="I101" s="45"/>
      <c r="J101" s="45"/>
      <c r="K101" s="45"/>
      <c r="L101" s="46"/>
      <c r="M101" s="17"/>
      <c r="N101" s="17"/>
      <c r="O101" s="17"/>
    </row>
    <row r="102" spans="1:15" x14ac:dyDescent="0.25">
      <c r="A102" s="17"/>
      <c r="B102" s="47"/>
      <c r="C102" s="48"/>
      <c r="D102" s="48"/>
      <c r="E102" s="48"/>
      <c r="F102" s="48"/>
      <c r="G102" s="48"/>
      <c r="H102" s="48"/>
      <c r="I102" s="48"/>
      <c r="J102" s="48"/>
      <c r="K102" s="48"/>
      <c r="L102" s="49"/>
      <c r="M102" s="17"/>
      <c r="N102" s="17"/>
      <c r="O102" s="17"/>
    </row>
    <row r="103" spans="1:15" ht="15.75" x14ac:dyDescent="0.25">
      <c r="A103" s="17"/>
      <c r="B103" s="28"/>
      <c r="C103" s="29"/>
      <c r="D103" s="29"/>
      <c r="E103" s="29"/>
      <c r="F103" s="29"/>
      <c r="G103" s="29"/>
      <c r="H103" s="29"/>
      <c r="I103" s="29"/>
      <c r="J103" s="29"/>
      <c r="K103" s="29"/>
      <c r="L103" s="30"/>
      <c r="M103" s="17"/>
      <c r="N103" s="17"/>
      <c r="O103" s="17"/>
    </row>
    <row r="104" spans="1:15" x14ac:dyDescent="0.25">
      <c r="A104" s="17"/>
      <c r="B104" s="35" t="s">
        <v>63</v>
      </c>
      <c r="C104" s="50"/>
      <c r="D104" s="50"/>
      <c r="E104" s="50"/>
      <c r="F104" s="50"/>
      <c r="G104" s="50"/>
      <c r="H104" s="50"/>
      <c r="I104" s="50"/>
      <c r="J104" s="50"/>
      <c r="K104" s="50"/>
      <c r="L104" s="51"/>
      <c r="M104" s="17"/>
      <c r="N104" s="17"/>
      <c r="O104" s="17"/>
    </row>
    <row r="105" spans="1:15" x14ac:dyDescent="0.25">
      <c r="A105" s="17"/>
      <c r="B105" s="52"/>
      <c r="C105" s="53"/>
      <c r="D105" s="53"/>
      <c r="E105" s="53"/>
      <c r="F105" s="53"/>
      <c r="G105" s="53"/>
      <c r="H105" s="53"/>
      <c r="I105" s="53"/>
      <c r="J105" s="53"/>
      <c r="K105" s="53"/>
      <c r="L105" s="54"/>
      <c r="M105" s="17"/>
      <c r="N105" s="17"/>
      <c r="O105" s="17"/>
    </row>
    <row r="106" spans="1:15" x14ac:dyDescent="0.25">
      <c r="A106" s="17"/>
      <c r="B106" s="41" t="s">
        <v>70</v>
      </c>
      <c r="C106" s="42"/>
      <c r="D106" s="42"/>
      <c r="E106" s="42"/>
      <c r="F106" s="42"/>
      <c r="G106" s="42"/>
      <c r="H106" s="42"/>
      <c r="I106" s="42"/>
      <c r="J106" s="42"/>
      <c r="K106" s="42"/>
      <c r="L106" s="43"/>
      <c r="M106" s="17"/>
      <c r="N106" s="17"/>
      <c r="O106" s="17"/>
    </row>
    <row r="107" spans="1:15" x14ac:dyDescent="0.25">
      <c r="A107" s="17"/>
      <c r="B107" s="44"/>
      <c r="C107" s="45"/>
      <c r="D107" s="45"/>
      <c r="E107" s="45"/>
      <c r="F107" s="45"/>
      <c r="G107" s="45"/>
      <c r="H107" s="45"/>
      <c r="I107" s="45"/>
      <c r="J107" s="45"/>
      <c r="K107" s="45"/>
      <c r="L107" s="46"/>
      <c r="M107" s="17"/>
      <c r="N107" s="17"/>
      <c r="O107" s="17"/>
    </row>
    <row r="108" spans="1:15" x14ac:dyDescent="0.25">
      <c r="A108" s="17"/>
      <c r="B108" s="44"/>
      <c r="C108" s="45"/>
      <c r="D108" s="45"/>
      <c r="E108" s="45"/>
      <c r="F108" s="45"/>
      <c r="G108" s="45"/>
      <c r="H108" s="45"/>
      <c r="I108" s="45"/>
      <c r="J108" s="45"/>
      <c r="K108" s="45"/>
      <c r="L108" s="46"/>
      <c r="M108" s="17"/>
      <c r="N108" s="17"/>
      <c r="O108" s="17"/>
    </row>
    <row r="109" spans="1:15" x14ac:dyDescent="0.25">
      <c r="A109" s="17"/>
      <c r="B109" s="44"/>
      <c r="C109" s="45"/>
      <c r="D109" s="45"/>
      <c r="E109" s="45"/>
      <c r="F109" s="45"/>
      <c r="G109" s="45"/>
      <c r="H109" s="45"/>
      <c r="I109" s="45"/>
      <c r="J109" s="45"/>
      <c r="K109" s="45"/>
      <c r="L109" s="46"/>
      <c r="M109" s="17"/>
      <c r="N109" s="17"/>
      <c r="O109" s="17"/>
    </row>
    <row r="110" spans="1:15" x14ac:dyDescent="0.25">
      <c r="A110" s="17"/>
      <c r="B110" s="44"/>
      <c r="C110" s="45"/>
      <c r="D110" s="45"/>
      <c r="E110" s="45"/>
      <c r="F110" s="45"/>
      <c r="G110" s="45"/>
      <c r="H110" s="45"/>
      <c r="I110" s="45"/>
      <c r="J110" s="45"/>
      <c r="K110" s="45"/>
      <c r="L110" s="46"/>
      <c r="M110" s="17"/>
      <c r="N110" s="17"/>
      <c r="O110" s="17"/>
    </row>
    <row r="111" spans="1:15" x14ac:dyDescent="0.25">
      <c r="A111" s="17"/>
      <c r="B111" s="44"/>
      <c r="C111" s="45"/>
      <c r="D111" s="45"/>
      <c r="E111" s="45"/>
      <c r="F111" s="45"/>
      <c r="G111" s="45"/>
      <c r="H111" s="45"/>
      <c r="I111" s="45"/>
      <c r="J111" s="45"/>
      <c r="K111" s="45"/>
      <c r="L111" s="46"/>
      <c r="M111" s="17"/>
      <c r="N111" s="17"/>
      <c r="O111" s="17"/>
    </row>
    <row r="112" spans="1:15" x14ac:dyDescent="0.25">
      <c r="A112" s="17"/>
      <c r="B112" s="44"/>
      <c r="C112" s="45"/>
      <c r="D112" s="45"/>
      <c r="E112" s="45"/>
      <c r="F112" s="45"/>
      <c r="G112" s="45"/>
      <c r="H112" s="45"/>
      <c r="I112" s="45"/>
      <c r="J112" s="45"/>
      <c r="K112" s="45"/>
      <c r="L112" s="46"/>
      <c r="M112" s="17"/>
      <c r="N112" s="17"/>
      <c r="O112" s="17"/>
    </row>
    <row r="113" spans="1:15" x14ac:dyDescent="0.25">
      <c r="A113" s="17"/>
      <c r="B113" s="47"/>
      <c r="C113" s="48"/>
      <c r="D113" s="48"/>
      <c r="E113" s="48"/>
      <c r="F113" s="48"/>
      <c r="G113" s="48"/>
      <c r="H113" s="48"/>
      <c r="I113" s="48"/>
      <c r="J113" s="48"/>
      <c r="K113" s="48"/>
      <c r="L113" s="49"/>
      <c r="M113" s="17"/>
      <c r="N113" s="17"/>
      <c r="O113" s="17"/>
    </row>
    <row r="114" spans="1:15" ht="15.75" x14ac:dyDescent="0.25">
      <c r="A114" s="17"/>
      <c r="B114" s="28"/>
      <c r="C114" s="29"/>
      <c r="D114" s="29"/>
      <c r="E114" s="29"/>
      <c r="F114" s="29"/>
      <c r="G114" s="29"/>
      <c r="H114" s="29"/>
      <c r="I114" s="29"/>
      <c r="J114" s="29"/>
      <c r="K114" s="29"/>
      <c r="L114" s="30"/>
      <c r="M114" s="17"/>
      <c r="N114" s="17"/>
      <c r="O114" s="17"/>
    </row>
    <row r="115" spans="1:15" x14ac:dyDescent="0.25">
      <c r="A115" s="17"/>
      <c r="B115" s="17"/>
      <c r="C115" s="17"/>
      <c r="D115" s="17"/>
      <c r="E115" s="17"/>
      <c r="F115" s="17"/>
      <c r="G115" s="17"/>
      <c r="H115" s="17"/>
      <c r="I115" s="17"/>
      <c r="J115" s="17"/>
      <c r="K115" s="17"/>
      <c r="L115" s="17"/>
      <c r="M115" s="17"/>
      <c r="N115" s="17"/>
      <c r="O115" s="17"/>
    </row>
    <row r="116" spans="1:15" x14ac:dyDescent="0.25">
      <c r="A116" s="17"/>
      <c r="B116" s="33" t="s">
        <v>71</v>
      </c>
      <c r="C116" s="34"/>
      <c r="D116" s="34"/>
      <c r="E116" s="34"/>
      <c r="F116" s="34"/>
      <c r="G116" s="34"/>
      <c r="H116" s="34"/>
      <c r="I116" s="17"/>
      <c r="J116" s="17"/>
      <c r="K116" s="17"/>
      <c r="L116" s="17"/>
      <c r="M116" s="17"/>
      <c r="N116" s="17"/>
      <c r="O116" s="17"/>
    </row>
    <row r="117" spans="1:15" x14ac:dyDescent="0.25">
      <c r="A117" s="17"/>
      <c r="B117" s="34"/>
      <c r="C117" s="34"/>
      <c r="D117" s="34"/>
      <c r="E117" s="34"/>
      <c r="F117" s="34"/>
      <c r="G117" s="34"/>
      <c r="H117" s="34"/>
      <c r="I117" s="17"/>
      <c r="J117" s="17"/>
      <c r="K117" s="17"/>
      <c r="L117" s="17"/>
      <c r="M117" s="17"/>
      <c r="N117" s="17"/>
      <c r="O117" s="17"/>
    </row>
    <row r="118" spans="1:15" x14ac:dyDescent="0.25">
      <c r="A118" s="17"/>
      <c r="B118" s="56" t="s">
        <v>102</v>
      </c>
      <c r="C118" s="57"/>
      <c r="D118" s="57"/>
      <c r="E118" s="57"/>
      <c r="F118" s="57"/>
      <c r="G118" s="57"/>
      <c r="H118" s="57"/>
      <c r="I118" s="17"/>
      <c r="J118" s="17"/>
      <c r="K118" s="17"/>
      <c r="L118" s="17"/>
      <c r="M118" s="17"/>
      <c r="N118" s="17"/>
      <c r="O118" s="17"/>
    </row>
    <row r="119" spans="1:15" x14ac:dyDescent="0.25">
      <c r="A119" s="17"/>
      <c r="B119" s="57"/>
      <c r="C119" s="57"/>
      <c r="D119" s="57"/>
      <c r="E119" s="57"/>
      <c r="F119" s="57"/>
      <c r="G119" s="57"/>
      <c r="H119" s="57"/>
      <c r="I119" s="17"/>
      <c r="J119" s="17"/>
      <c r="K119" s="17"/>
      <c r="L119" s="17"/>
      <c r="M119" s="17"/>
      <c r="N119" s="17"/>
      <c r="O119" s="17"/>
    </row>
    <row r="120" spans="1:15" ht="18.75" x14ac:dyDescent="0.3">
      <c r="A120" s="17"/>
      <c r="B120" s="58" t="s">
        <v>103</v>
      </c>
      <c r="C120" s="58"/>
      <c r="D120" s="58"/>
      <c r="E120" s="58"/>
      <c r="F120" s="58"/>
      <c r="G120" s="58"/>
      <c r="H120" s="58"/>
      <c r="I120" s="17"/>
      <c r="J120" s="17"/>
      <c r="K120" s="17"/>
      <c r="L120" s="17"/>
      <c r="M120" s="17"/>
      <c r="N120" s="17"/>
      <c r="O120" s="17"/>
    </row>
    <row r="121" spans="1:15" x14ac:dyDescent="0.25">
      <c r="A121" s="17"/>
      <c r="B121" s="17"/>
      <c r="C121" s="17"/>
      <c r="D121" s="17"/>
      <c r="E121" s="17"/>
      <c r="F121" s="17"/>
      <c r="G121" s="17"/>
      <c r="H121" s="17"/>
      <c r="I121" s="17"/>
      <c r="J121" s="17"/>
      <c r="K121" s="17"/>
      <c r="L121" s="17"/>
      <c r="M121" s="17"/>
      <c r="N121" s="17"/>
      <c r="O121" s="17"/>
    </row>
    <row r="122" spans="1:15" x14ac:dyDescent="0.25">
      <c r="A122" s="17"/>
      <c r="B122" s="17"/>
      <c r="C122" s="17"/>
      <c r="D122" s="17"/>
      <c r="E122" s="17"/>
      <c r="F122" s="17"/>
      <c r="G122" s="17"/>
      <c r="H122" s="17"/>
      <c r="I122" s="17"/>
      <c r="J122" s="17"/>
      <c r="K122" s="17"/>
      <c r="L122" s="17"/>
      <c r="M122" s="17"/>
      <c r="N122" s="17"/>
      <c r="O122" s="17"/>
    </row>
    <row r="123" spans="1:15" x14ac:dyDescent="0.25">
      <c r="A123" s="17"/>
      <c r="B123" s="17"/>
      <c r="C123" s="17"/>
      <c r="D123" s="17"/>
      <c r="E123" s="17"/>
      <c r="F123" s="17"/>
      <c r="G123" s="17"/>
      <c r="H123" s="17"/>
      <c r="I123" s="17"/>
      <c r="J123" s="17"/>
      <c r="K123" s="17"/>
      <c r="L123" s="17"/>
      <c r="M123" s="17"/>
      <c r="N123" s="17"/>
      <c r="O123" s="17"/>
    </row>
    <row r="124" spans="1:15" x14ac:dyDescent="0.25">
      <c r="A124" s="17"/>
      <c r="B124" s="17"/>
      <c r="C124" s="17"/>
      <c r="D124" s="17"/>
      <c r="E124" s="17"/>
      <c r="F124" s="17"/>
      <c r="G124" s="17"/>
      <c r="H124" s="17"/>
      <c r="I124" s="17"/>
      <c r="J124" s="17"/>
      <c r="K124" s="17"/>
      <c r="L124" s="17"/>
      <c r="M124" s="17"/>
      <c r="N124" s="17"/>
      <c r="O124" s="17"/>
    </row>
    <row r="125" spans="1:15" x14ac:dyDescent="0.25">
      <c r="A125" s="17"/>
      <c r="B125" s="17"/>
      <c r="C125" s="17"/>
      <c r="D125" s="17"/>
      <c r="E125" s="17"/>
      <c r="F125" s="17"/>
      <c r="G125" s="17"/>
      <c r="H125" s="17"/>
      <c r="I125" s="17"/>
      <c r="J125" s="17"/>
      <c r="K125" s="17"/>
      <c r="L125" s="17"/>
      <c r="M125" s="17"/>
      <c r="N125" s="17"/>
      <c r="O125" s="17"/>
    </row>
    <row r="126" spans="1:15" x14ac:dyDescent="0.25">
      <c r="A126" s="17"/>
      <c r="B126" s="17"/>
      <c r="C126" s="17"/>
      <c r="D126" s="17"/>
      <c r="E126" s="17"/>
      <c r="F126" s="17"/>
      <c r="G126" s="17"/>
      <c r="H126" s="17"/>
      <c r="I126" s="17"/>
      <c r="J126" s="17"/>
      <c r="K126" s="17"/>
      <c r="L126" s="17"/>
      <c r="M126" s="17"/>
      <c r="N126" s="17"/>
      <c r="O126" s="17"/>
    </row>
    <row r="127" spans="1:15" x14ac:dyDescent="0.25">
      <c r="A127" s="17"/>
      <c r="B127" s="17"/>
      <c r="C127" s="17"/>
      <c r="D127" s="17"/>
      <c r="E127" s="17"/>
      <c r="F127" s="17"/>
      <c r="G127" s="17"/>
      <c r="H127" s="17"/>
      <c r="I127" s="17"/>
      <c r="J127" s="17"/>
      <c r="K127" s="17"/>
      <c r="L127" s="17"/>
      <c r="M127" s="17"/>
      <c r="N127" s="17"/>
      <c r="O127" s="17"/>
    </row>
    <row r="128" spans="1:15" x14ac:dyDescent="0.25">
      <c r="A128" s="17"/>
      <c r="B128" s="17"/>
      <c r="C128" s="17"/>
      <c r="D128" s="17"/>
      <c r="E128" s="17"/>
      <c r="F128" s="17"/>
      <c r="G128" s="17"/>
      <c r="H128" s="17"/>
      <c r="I128" s="17"/>
      <c r="J128" s="17"/>
      <c r="K128" s="17"/>
      <c r="L128" s="17"/>
      <c r="M128" s="17"/>
      <c r="N128" s="17"/>
      <c r="O128" s="17"/>
    </row>
    <row r="129" spans="1:15" x14ac:dyDescent="0.25">
      <c r="A129" s="17"/>
      <c r="B129" s="17"/>
      <c r="C129" s="17"/>
      <c r="D129" s="17"/>
      <c r="E129" s="17"/>
      <c r="F129" s="17"/>
      <c r="G129" s="17"/>
      <c r="H129" s="17"/>
      <c r="I129" s="17"/>
      <c r="J129" s="17"/>
      <c r="K129" s="17"/>
      <c r="L129" s="17"/>
      <c r="M129" s="17"/>
      <c r="N129" s="17"/>
      <c r="O129" s="17"/>
    </row>
    <row r="130" spans="1:15" x14ac:dyDescent="0.25">
      <c r="A130" s="17"/>
      <c r="B130" s="17"/>
      <c r="C130" s="17"/>
      <c r="D130" s="17"/>
      <c r="E130" s="17"/>
      <c r="F130" s="17"/>
      <c r="G130" s="17"/>
      <c r="H130" s="17"/>
      <c r="I130" s="17"/>
      <c r="J130" s="17"/>
      <c r="K130" s="17"/>
      <c r="L130" s="17"/>
      <c r="M130" s="17"/>
      <c r="N130" s="17"/>
      <c r="O130" s="17"/>
    </row>
    <row r="131" spans="1:15" x14ac:dyDescent="0.25">
      <c r="A131" s="17"/>
      <c r="B131" s="17"/>
      <c r="C131" s="17"/>
      <c r="D131" s="17"/>
      <c r="E131" s="17"/>
      <c r="F131" s="17"/>
      <c r="G131" s="17"/>
      <c r="H131" s="17"/>
      <c r="I131" s="17"/>
      <c r="J131" s="17"/>
      <c r="K131" s="17"/>
      <c r="L131" s="17"/>
      <c r="M131" s="17"/>
      <c r="N131" s="17"/>
      <c r="O131" s="17"/>
    </row>
    <row r="132" spans="1:15" x14ac:dyDescent="0.25">
      <c r="A132" s="17"/>
      <c r="B132" s="17"/>
      <c r="C132" s="17"/>
      <c r="D132" s="17"/>
      <c r="E132" s="17"/>
      <c r="F132" s="17"/>
      <c r="G132" s="17"/>
      <c r="H132" s="17"/>
      <c r="I132" s="17"/>
      <c r="J132" s="17"/>
      <c r="K132" s="17"/>
      <c r="L132" s="17"/>
      <c r="M132" s="17"/>
      <c r="N132" s="17"/>
      <c r="O132" s="17"/>
    </row>
    <row r="133" spans="1:15" x14ac:dyDescent="0.25">
      <c r="A133" s="17"/>
      <c r="B133" s="17"/>
      <c r="C133" s="17"/>
      <c r="D133" s="17"/>
      <c r="E133" s="17"/>
      <c r="F133" s="17"/>
      <c r="G133" s="17"/>
      <c r="H133" s="17"/>
      <c r="I133" s="17"/>
      <c r="J133" s="17"/>
      <c r="K133" s="17"/>
      <c r="L133" s="17"/>
      <c r="M133" s="17"/>
      <c r="N133" s="17"/>
      <c r="O133" s="17"/>
    </row>
    <row r="134" spans="1:15" x14ac:dyDescent="0.25">
      <c r="A134" s="17"/>
      <c r="B134" s="17"/>
      <c r="C134" s="17"/>
      <c r="D134" s="17"/>
      <c r="E134" s="17"/>
      <c r="F134" s="17"/>
      <c r="G134" s="17"/>
      <c r="H134" s="17"/>
      <c r="I134" s="17"/>
      <c r="J134" s="17"/>
      <c r="K134" s="17"/>
      <c r="L134" s="17"/>
      <c r="M134" s="17"/>
      <c r="N134" s="17"/>
      <c r="O134" s="17"/>
    </row>
    <row r="135" spans="1:15" x14ac:dyDescent="0.25">
      <c r="A135" s="17"/>
      <c r="B135" s="17"/>
      <c r="C135" s="17"/>
      <c r="D135" s="17"/>
      <c r="E135" s="17"/>
      <c r="F135" s="17"/>
      <c r="G135" s="17"/>
      <c r="H135" s="17"/>
      <c r="I135" s="17"/>
      <c r="J135" s="17"/>
      <c r="K135" s="17"/>
      <c r="L135" s="17"/>
      <c r="M135" s="17"/>
      <c r="N135" s="17"/>
      <c r="O135" s="17"/>
    </row>
    <row r="136" spans="1:15" x14ac:dyDescent="0.25">
      <c r="A136" s="17"/>
      <c r="B136" s="17"/>
      <c r="C136" s="17"/>
      <c r="D136" s="17"/>
      <c r="E136" s="17"/>
      <c r="F136" s="17"/>
      <c r="G136" s="17"/>
      <c r="H136" s="17"/>
      <c r="I136" s="17"/>
      <c r="J136" s="17"/>
      <c r="K136" s="17"/>
      <c r="L136" s="17"/>
      <c r="M136" s="17"/>
      <c r="N136" s="17"/>
      <c r="O136" s="17"/>
    </row>
    <row r="137" spans="1:15" x14ac:dyDescent="0.25">
      <c r="A137" s="17"/>
      <c r="B137" s="17"/>
      <c r="C137" s="17"/>
      <c r="D137" s="17"/>
      <c r="E137" s="17"/>
      <c r="F137" s="17"/>
      <c r="G137" s="17"/>
      <c r="H137" s="17"/>
      <c r="I137" s="17"/>
      <c r="J137" s="17"/>
      <c r="K137" s="17"/>
      <c r="L137" s="17"/>
      <c r="M137" s="17"/>
      <c r="N137" s="17"/>
      <c r="O137" s="17"/>
    </row>
    <row r="138" spans="1:15" x14ac:dyDescent="0.25">
      <c r="A138" s="17"/>
      <c r="B138" s="17"/>
      <c r="C138" s="17"/>
      <c r="D138" s="17"/>
      <c r="E138" s="17"/>
      <c r="F138" s="17"/>
      <c r="G138" s="17"/>
      <c r="H138" s="17"/>
      <c r="I138" s="17"/>
      <c r="J138" s="17"/>
      <c r="K138" s="17"/>
      <c r="L138" s="17"/>
      <c r="M138" s="17"/>
      <c r="N138" s="17"/>
      <c r="O138" s="17"/>
    </row>
    <row r="139" spans="1:15" x14ac:dyDescent="0.25">
      <c r="A139" s="17"/>
      <c r="B139" s="17"/>
      <c r="C139" s="17"/>
      <c r="D139" s="17"/>
      <c r="E139" s="17"/>
      <c r="F139" s="17"/>
      <c r="G139" s="17"/>
      <c r="H139" s="17"/>
      <c r="I139" s="17"/>
      <c r="J139" s="17"/>
      <c r="K139" s="17"/>
      <c r="L139" s="17"/>
      <c r="M139" s="17"/>
      <c r="N139" s="17"/>
      <c r="O139" s="17"/>
    </row>
    <row r="140" spans="1:15" x14ac:dyDescent="0.25">
      <c r="A140" s="17"/>
      <c r="B140" s="17"/>
      <c r="C140" s="17"/>
      <c r="D140" s="17"/>
      <c r="E140" s="17"/>
      <c r="F140" s="17"/>
      <c r="G140" s="17"/>
      <c r="H140" s="17"/>
      <c r="I140" s="17"/>
      <c r="J140" s="17"/>
      <c r="K140" s="17"/>
      <c r="L140" s="17"/>
      <c r="M140" s="17"/>
      <c r="N140" s="17"/>
      <c r="O140" s="17"/>
    </row>
    <row r="141" spans="1:15" x14ac:dyDescent="0.25">
      <c r="A141" s="17"/>
      <c r="B141" s="17"/>
      <c r="C141" s="17"/>
      <c r="D141" s="17"/>
      <c r="E141" s="17"/>
      <c r="F141" s="17"/>
      <c r="G141" s="17"/>
      <c r="H141" s="17"/>
      <c r="I141" s="17"/>
      <c r="J141" s="17"/>
      <c r="K141" s="17"/>
      <c r="L141" s="17"/>
      <c r="M141" s="17"/>
      <c r="N141" s="17"/>
      <c r="O141" s="17"/>
    </row>
    <row r="142" spans="1:15" x14ac:dyDescent="0.25">
      <c r="A142" s="17"/>
      <c r="B142" s="17"/>
      <c r="C142" s="17"/>
      <c r="D142" s="17"/>
      <c r="E142" s="17"/>
      <c r="F142" s="17"/>
      <c r="G142" s="17"/>
      <c r="H142" s="17"/>
      <c r="I142" s="17"/>
      <c r="J142" s="17"/>
      <c r="K142" s="17"/>
      <c r="L142" s="17"/>
      <c r="M142" s="17"/>
      <c r="N142" s="17"/>
      <c r="O142" s="17"/>
    </row>
    <row r="143" spans="1:15" x14ac:dyDescent="0.25">
      <c r="A143" s="17"/>
      <c r="B143" s="17"/>
      <c r="C143" s="17"/>
      <c r="D143" s="17"/>
      <c r="E143" s="17"/>
      <c r="F143" s="17"/>
      <c r="G143" s="17"/>
      <c r="H143" s="17"/>
      <c r="I143" s="17"/>
      <c r="J143" s="17"/>
      <c r="K143" s="17"/>
      <c r="L143" s="17"/>
      <c r="M143" s="17"/>
      <c r="N143" s="17"/>
      <c r="O143" s="17"/>
    </row>
    <row r="144" spans="1:15" x14ac:dyDescent="0.25">
      <c r="A144" s="17"/>
      <c r="B144" s="17"/>
      <c r="C144" s="17"/>
      <c r="D144" s="17"/>
      <c r="E144" s="17"/>
      <c r="F144" s="17"/>
      <c r="G144" s="17"/>
      <c r="H144" s="17"/>
      <c r="I144" s="17"/>
      <c r="J144" s="17"/>
      <c r="K144" s="17"/>
      <c r="L144" s="17"/>
      <c r="M144" s="17"/>
      <c r="N144" s="17"/>
      <c r="O144" s="17"/>
    </row>
    <row r="145" spans="1:15" x14ac:dyDescent="0.25">
      <c r="A145" s="17"/>
      <c r="B145" s="17"/>
      <c r="C145" s="17"/>
      <c r="D145" s="17"/>
      <c r="E145" s="17"/>
      <c r="F145" s="17"/>
      <c r="G145" s="17"/>
      <c r="H145" s="17"/>
      <c r="I145" s="17"/>
      <c r="J145" s="17"/>
      <c r="K145" s="17"/>
      <c r="L145" s="17"/>
      <c r="M145" s="17"/>
      <c r="N145" s="17"/>
      <c r="O145" s="17"/>
    </row>
    <row r="146" spans="1:15" x14ac:dyDescent="0.25">
      <c r="A146" s="17"/>
      <c r="B146" s="17"/>
      <c r="C146" s="17"/>
      <c r="D146" s="17"/>
      <c r="E146" s="17"/>
      <c r="F146" s="17"/>
      <c r="G146" s="17"/>
      <c r="H146" s="17"/>
      <c r="I146" s="17"/>
      <c r="J146" s="17"/>
      <c r="K146" s="17"/>
      <c r="L146" s="17"/>
      <c r="M146" s="17"/>
      <c r="N146" s="17"/>
      <c r="O146" s="17"/>
    </row>
    <row r="147" spans="1:15" x14ac:dyDescent="0.25">
      <c r="A147" s="17"/>
      <c r="B147" s="17"/>
      <c r="C147" s="17"/>
      <c r="D147" s="17"/>
      <c r="E147" s="17"/>
      <c r="F147" s="17"/>
      <c r="G147" s="17"/>
      <c r="H147" s="17"/>
      <c r="I147" s="17"/>
      <c r="J147" s="17"/>
      <c r="K147" s="17"/>
      <c r="L147" s="17"/>
      <c r="M147" s="17"/>
      <c r="N147" s="17"/>
      <c r="O147" s="17"/>
    </row>
    <row r="148" spans="1:15" x14ac:dyDescent="0.25">
      <c r="A148" s="17"/>
      <c r="B148" s="17"/>
      <c r="C148" s="17"/>
      <c r="D148" s="17"/>
      <c r="E148" s="17"/>
      <c r="F148" s="17"/>
      <c r="G148" s="17"/>
      <c r="H148" s="17"/>
      <c r="I148" s="17"/>
      <c r="J148" s="17"/>
      <c r="K148" s="17"/>
      <c r="L148" s="17"/>
      <c r="M148" s="17"/>
      <c r="N148" s="17"/>
      <c r="O148" s="17"/>
    </row>
  </sheetData>
  <sheetProtection algorithmName="SHA-512" hashValue="51Pm5pbGZ1QgpBMZRZ4KFNebNqO8ADHsgeGwm3wxWRq9fneeCwB/wC0SPXwIeh2WnO1trPf+IOfXcCFwCL/Dag==" saltValue="nydsct5OKLFdL9OfNCrGdw==" spinCount="100000" sheet="1" objects="1" scenarios="1"/>
  <mergeCells count="28">
    <mergeCell ref="B118:H119"/>
    <mergeCell ref="B120:H120"/>
    <mergeCell ref="B12:L13"/>
    <mergeCell ref="B14:L18"/>
    <mergeCell ref="B1:L3"/>
    <mergeCell ref="B4:L4"/>
    <mergeCell ref="B5:L6"/>
    <mergeCell ref="B7:L10"/>
    <mergeCell ref="B11:L11"/>
    <mergeCell ref="B44:L44"/>
    <mergeCell ref="B45:L57"/>
    <mergeCell ref="B58:L58"/>
    <mergeCell ref="B59:L69"/>
    <mergeCell ref="B19:L19"/>
    <mergeCell ref="B20:L21"/>
    <mergeCell ref="B22:L33"/>
    <mergeCell ref="B34:L34"/>
    <mergeCell ref="B35:L36"/>
    <mergeCell ref="B37:L43"/>
    <mergeCell ref="B104:L105"/>
    <mergeCell ref="B106:L113"/>
    <mergeCell ref="B116:H117"/>
    <mergeCell ref="B71:L72"/>
    <mergeCell ref="B73:L80"/>
    <mergeCell ref="B82:L83"/>
    <mergeCell ref="B84:L91"/>
    <mergeCell ref="B93:L94"/>
    <mergeCell ref="B95:L102"/>
  </mergeCells>
  <hyperlinks>
    <hyperlink ref="B116" r:id="rId1"/>
    <hyperlink ref="B118" r:id="rId2"/>
  </hyperlinks>
  <pageMargins left="0.7" right="0.7" top="0.75" bottom="0.75" header="0.3" footer="0.3"/>
  <pageSetup paperSize="9" orientation="portrait" horizontalDpi="30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3"/>
  <sheetViews>
    <sheetView tabSelected="1" workbookViewId="0">
      <selection activeCell="F20" sqref="F20"/>
    </sheetView>
  </sheetViews>
  <sheetFormatPr defaultRowHeight="15" x14ac:dyDescent="0.25"/>
  <cols>
    <col min="1" max="1" width="21.5703125" customWidth="1"/>
    <col min="2" max="2" width="24" customWidth="1"/>
    <col min="3" max="3" width="19.85546875" customWidth="1"/>
    <col min="5" max="5" width="14.28515625" customWidth="1"/>
    <col min="6" max="6" width="13.7109375" customWidth="1"/>
  </cols>
  <sheetData>
    <row r="1" spans="1:101" x14ac:dyDescent="0.25">
      <c r="A1" s="121" t="s">
        <v>20</v>
      </c>
      <c r="B1" s="121" t="s">
        <v>46</v>
      </c>
      <c r="C1" s="121" t="s">
        <v>45</v>
      </c>
      <c r="D1" s="121" t="s">
        <v>29</v>
      </c>
      <c r="E1" s="121" t="s">
        <v>37</v>
      </c>
      <c r="F1" s="121" t="s">
        <v>36</v>
      </c>
    </row>
    <row r="2" spans="1:101" x14ac:dyDescent="0.25">
      <c r="A2" s="121"/>
      <c r="B2" s="121"/>
      <c r="C2" s="121"/>
      <c r="D2" s="121"/>
      <c r="E2" s="121"/>
      <c r="F2" s="121"/>
    </row>
    <row r="3" spans="1:101" ht="15.75" x14ac:dyDescent="0.25">
      <c r="A3" s="22" t="s">
        <v>32</v>
      </c>
      <c r="B3" s="22">
        <v>736258</v>
      </c>
      <c r="C3" s="25">
        <v>692914</v>
      </c>
      <c r="D3" s="23">
        <f>B3/C3</f>
        <v>1.0625532172823755</v>
      </c>
      <c r="E3" s="23">
        <f t="shared" ref="E3:E12" si="0">D3*CA33</f>
        <v>1.0601274617339531</v>
      </c>
      <c r="F3" s="23">
        <f t="shared" ref="F3:F12" si="1">CI33*CH33</f>
        <v>1.0649831516204202</v>
      </c>
      <c r="K3" s="1"/>
    </row>
    <row r="4" spans="1:101" ht="15.75" x14ac:dyDescent="0.25">
      <c r="A4" s="22" t="s">
        <v>48</v>
      </c>
      <c r="B4" s="22">
        <v>285585</v>
      </c>
      <c r="C4" s="25">
        <v>279789</v>
      </c>
      <c r="D4" s="23">
        <f t="shared" ref="D4:D12" si="2">B4/C4</f>
        <v>1.0207156106923432</v>
      </c>
      <c r="E4" s="23">
        <f t="shared" si="0"/>
        <v>1.0169753653122373</v>
      </c>
      <c r="F4" s="23">
        <f t="shared" si="1"/>
        <v>1.0244662075626392</v>
      </c>
      <c r="K4" s="1"/>
    </row>
    <row r="5" spans="1:101" ht="15.75" x14ac:dyDescent="0.25">
      <c r="A5" s="22" t="s">
        <v>49</v>
      </c>
      <c r="B5" s="22">
        <v>565656</v>
      </c>
      <c r="C5" s="25">
        <v>456252</v>
      </c>
      <c r="D5" s="23">
        <f t="shared" si="2"/>
        <v>1.2397885379132585</v>
      </c>
      <c r="E5" s="23">
        <f t="shared" si="0"/>
        <v>1.2365596848591234</v>
      </c>
      <c r="F5" s="23">
        <f t="shared" si="1"/>
        <v>1.2430237376850937</v>
      </c>
      <c r="K5" s="1"/>
    </row>
    <row r="6" spans="1:101" ht="15.75" x14ac:dyDescent="0.25">
      <c r="A6" s="22" t="s">
        <v>50</v>
      </c>
      <c r="B6" s="22">
        <v>736258</v>
      </c>
      <c r="C6" s="25">
        <v>792914</v>
      </c>
      <c r="D6" s="23">
        <f t="shared" si="2"/>
        <v>0.92854710599131807</v>
      </c>
      <c r="E6" s="23">
        <f t="shared" si="0"/>
        <v>0.92642727965443972</v>
      </c>
      <c r="F6" s="23">
        <f t="shared" si="1"/>
        <v>0.93067058410106496</v>
      </c>
      <c r="K6" s="1"/>
    </row>
    <row r="7" spans="1:101" ht="15.75" x14ac:dyDescent="0.25">
      <c r="A7" s="22" t="s">
        <v>51</v>
      </c>
      <c r="B7" s="22">
        <v>736258</v>
      </c>
      <c r="C7" s="25">
        <v>692914</v>
      </c>
      <c r="D7" s="23">
        <f t="shared" si="2"/>
        <v>1.0625532172823755</v>
      </c>
      <c r="E7" s="23">
        <f t="shared" si="0"/>
        <v>1.0601274617339531</v>
      </c>
      <c r="F7" s="23">
        <f t="shared" si="1"/>
        <v>1.0649831516204202</v>
      </c>
      <c r="K7" s="1"/>
    </row>
    <row r="8" spans="1:101" ht="15.75" x14ac:dyDescent="0.25">
      <c r="A8" s="22" t="s">
        <v>52</v>
      </c>
      <c r="B8" s="22">
        <v>736258</v>
      </c>
      <c r="C8" s="25">
        <v>692914</v>
      </c>
      <c r="D8" s="23">
        <f t="shared" si="2"/>
        <v>1.0625532172823755</v>
      </c>
      <c r="E8" s="23">
        <f t="shared" si="0"/>
        <v>1.0601274617339531</v>
      </c>
      <c r="F8" s="23">
        <f t="shared" si="1"/>
        <v>1.0649831516204202</v>
      </c>
      <c r="K8" s="1"/>
    </row>
    <row r="9" spans="1:101" ht="15.75" x14ac:dyDescent="0.25">
      <c r="A9" s="22" t="s">
        <v>53</v>
      </c>
      <c r="B9" s="22">
        <v>736258</v>
      </c>
      <c r="C9" s="25">
        <v>692914</v>
      </c>
      <c r="D9" s="23">
        <f t="shared" si="2"/>
        <v>1.0625532172823755</v>
      </c>
      <c r="E9" s="23">
        <f t="shared" si="0"/>
        <v>1.0601274617339531</v>
      </c>
      <c r="F9" s="23">
        <f t="shared" si="1"/>
        <v>1.0649831516204202</v>
      </c>
      <c r="K9" s="1"/>
      <c r="CV9" s="15">
        <f t="shared" ref="CV9:CV18" si="3">D3-E3</f>
        <v>2.4257555484223925E-3</v>
      </c>
      <c r="CW9" s="15">
        <f t="shared" ref="CW9:CW18" si="4">F3-D3</f>
        <v>2.4299343380447258E-3</v>
      </c>
    </row>
    <row r="10" spans="1:101" ht="15.75" x14ac:dyDescent="0.25">
      <c r="A10" s="22" t="s">
        <v>54</v>
      </c>
      <c r="B10" s="22">
        <v>736258</v>
      </c>
      <c r="C10" s="25">
        <v>692914</v>
      </c>
      <c r="D10" s="23">
        <f t="shared" si="2"/>
        <v>1.0625532172823755</v>
      </c>
      <c r="E10" s="23">
        <f t="shared" si="0"/>
        <v>1.0601274617339531</v>
      </c>
      <c r="F10" s="23">
        <f t="shared" si="1"/>
        <v>1.0649831516204202</v>
      </c>
      <c r="K10" s="1"/>
      <c r="CV10" s="15">
        <f t="shared" si="3"/>
        <v>3.7402453801058666E-3</v>
      </c>
      <c r="CW10" s="15">
        <f t="shared" si="4"/>
        <v>3.7505968702959969E-3</v>
      </c>
    </row>
    <row r="11" spans="1:101" ht="15.75" x14ac:dyDescent="0.25">
      <c r="A11" s="22" t="s">
        <v>55</v>
      </c>
      <c r="B11" s="22">
        <v>736258</v>
      </c>
      <c r="C11" s="25">
        <v>692914</v>
      </c>
      <c r="D11" s="23">
        <f t="shared" si="2"/>
        <v>1.0625532172823755</v>
      </c>
      <c r="E11" s="23">
        <f t="shared" si="0"/>
        <v>1.0601274617339531</v>
      </c>
      <c r="F11" s="23">
        <f t="shared" si="1"/>
        <v>1.0649831516204202</v>
      </c>
      <c r="K11" s="1"/>
      <c r="CV11" s="15">
        <f t="shared" si="3"/>
        <v>3.2288530541351168E-3</v>
      </c>
      <c r="CW11" s="15">
        <f t="shared" si="4"/>
        <v>3.2351997718351733E-3</v>
      </c>
    </row>
    <row r="12" spans="1:101" ht="15.75" x14ac:dyDescent="0.25">
      <c r="A12" s="22" t="s">
        <v>56</v>
      </c>
      <c r="B12" s="22">
        <v>736258</v>
      </c>
      <c r="C12" s="25">
        <v>692914</v>
      </c>
      <c r="D12" s="23">
        <f t="shared" si="2"/>
        <v>1.0625532172823755</v>
      </c>
      <c r="E12" s="23">
        <f t="shared" si="0"/>
        <v>1.0601274617339531</v>
      </c>
      <c r="F12" s="23">
        <f t="shared" si="1"/>
        <v>1.0649831516204202</v>
      </c>
      <c r="K12" s="1"/>
      <c r="CV12" s="15">
        <f t="shared" si="3"/>
        <v>2.1198263368783499E-3</v>
      </c>
      <c r="CW12" s="15">
        <f t="shared" si="4"/>
        <v>2.1234781097468902E-3</v>
      </c>
    </row>
    <row r="13" spans="1:101" x14ac:dyDescent="0.25">
      <c r="CV13" s="15">
        <f t="shared" si="3"/>
        <v>2.4257555484223925E-3</v>
      </c>
      <c r="CW13" s="15">
        <f t="shared" si="4"/>
        <v>2.4299343380447258E-3</v>
      </c>
    </row>
    <row r="14" spans="1:101" x14ac:dyDescent="0.25">
      <c r="CV14" s="15">
        <f t="shared" si="3"/>
        <v>2.4257555484223925E-3</v>
      </c>
      <c r="CW14" s="15">
        <f t="shared" si="4"/>
        <v>2.4299343380447258E-3</v>
      </c>
    </row>
    <row r="15" spans="1:101" x14ac:dyDescent="0.25">
      <c r="CV15" s="15">
        <f t="shared" si="3"/>
        <v>2.4257555484223925E-3</v>
      </c>
      <c r="CW15" s="15">
        <f t="shared" si="4"/>
        <v>2.4299343380447258E-3</v>
      </c>
    </row>
    <row r="16" spans="1:101" x14ac:dyDescent="0.25">
      <c r="CV16" s="15">
        <f t="shared" si="3"/>
        <v>2.4257555484223925E-3</v>
      </c>
      <c r="CW16" s="15">
        <f t="shared" si="4"/>
        <v>2.4299343380447258E-3</v>
      </c>
    </row>
    <row r="17" spans="100:101" x14ac:dyDescent="0.25">
      <c r="CV17" s="15">
        <f t="shared" si="3"/>
        <v>2.4257555484223925E-3</v>
      </c>
      <c r="CW17" s="15">
        <f t="shared" si="4"/>
        <v>2.4299343380447258E-3</v>
      </c>
    </row>
    <row r="18" spans="100:101" x14ac:dyDescent="0.25">
      <c r="CV18" s="15">
        <f t="shared" si="3"/>
        <v>2.4257555484223925E-3</v>
      </c>
      <c r="CW18" s="15">
        <f t="shared" si="4"/>
        <v>2.4299343380447258E-3</v>
      </c>
    </row>
    <row r="33" spans="75:88" x14ac:dyDescent="0.25">
      <c r="BW33" s="24">
        <f t="shared" ref="BW33:BW42" si="5">SQRT(9*B3)</f>
        <v>2574.1643304187087</v>
      </c>
      <c r="BX33" s="24">
        <f>1.96/BW33</f>
        <v>7.6141215105765612E-4</v>
      </c>
      <c r="BY33" s="24">
        <f t="shared" ref="BY33:BY42" si="6">1/(9*B3)</f>
        <v>1.5091328190812338E-7</v>
      </c>
      <c r="BZ33" s="24">
        <f>1-BY33-BX33</f>
        <v>0.9992384369356605</v>
      </c>
      <c r="CA33" s="24">
        <f>BZ33*BZ33*BZ33</f>
        <v>0.99771705030019431</v>
      </c>
      <c r="CB33" s="24"/>
      <c r="CC33" s="24"/>
      <c r="CD33" s="24">
        <f t="shared" ref="CD33:CD42" si="7">SQRT(9*(B3+1))</f>
        <v>2574.1660785582581</v>
      </c>
      <c r="CE33" s="24">
        <f>1.96/CD33</f>
        <v>7.61411633975753E-4</v>
      </c>
      <c r="CF33" s="24">
        <f t="shared" ref="CF33:CF42" si="8">1/(9*(B3+1))</f>
        <v>1.5091307693503388E-7</v>
      </c>
      <c r="CG33" s="24">
        <f>1-CF33+CE33</f>
        <v>1.0007612607208989</v>
      </c>
      <c r="CH33" s="24">
        <f>CG33*CG33*CG33</f>
        <v>1.0022855211575163</v>
      </c>
      <c r="CI33" s="24">
        <f t="shared" ref="CI33:CI42" si="9">(B3+1)/C3</f>
        <v>1.0625546604629146</v>
      </c>
      <c r="CJ33" s="24"/>
    </row>
    <row r="34" spans="75:88" x14ac:dyDescent="0.25">
      <c r="BW34" s="24">
        <f t="shared" si="5"/>
        <v>1603.2046032868045</v>
      </c>
      <c r="BX34" s="24">
        <f t="shared" ref="BX34:BX42" si="10">1.96/BW34</f>
        <v>1.2225513798935659E-3</v>
      </c>
      <c r="BY34" s="24">
        <f t="shared" si="6"/>
        <v>3.8906494077458939E-7</v>
      </c>
      <c r="BZ34" s="24">
        <f t="shared" ref="BZ34:BZ42" si="11">1-BY34-BX34</f>
        <v>0.9987770595551656</v>
      </c>
      <c r="CA34" s="24">
        <f t="shared" ref="CA34:CA42" si="12">BZ34*BZ34*BZ34</f>
        <v>0.99633566358648229</v>
      </c>
      <c r="CB34" s="24"/>
      <c r="CC34" s="24"/>
      <c r="CD34" s="24">
        <f t="shared" si="7"/>
        <v>1603.2074101625155</v>
      </c>
      <c r="CE34" s="24">
        <f t="shared" ref="CE34:CE42" si="13">1.96/CD34</f>
        <v>1.2225492394657262E-3</v>
      </c>
      <c r="CF34" s="24">
        <f t="shared" si="8"/>
        <v>3.8906357843560647E-7</v>
      </c>
      <c r="CG34" s="24">
        <f t="shared" ref="CG34:CG42" si="14">1-CF34+CE34</f>
        <v>1.0012221601758873</v>
      </c>
      <c r="CH34" s="24">
        <f t="shared" ref="CH34:CH42" si="15">CG34*CG34*CG34</f>
        <v>1.003670963379659</v>
      </c>
      <c r="CI34" s="24">
        <f t="shared" si="9"/>
        <v>1.0207191848142707</v>
      </c>
      <c r="CJ34" s="24"/>
    </row>
    <row r="35" spans="75:88" x14ac:dyDescent="0.25">
      <c r="BW35" s="24">
        <f t="shared" si="5"/>
        <v>2256.3031711186331</v>
      </c>
      <c r="BX35" s="24">
        <f t="shared" si="10"/>
        <v>8.6867758955826331E-4</v>
      </c>
      <c r="BY35" s="24">
        <f t="shared" si="6"/>
        <v>1.9642876785733929E-7</v>
      </c>
      <c r="BZ35" s="24">
        <f t="shared" si="11"/>
        <v>0.99913112598167397</v>
      </c>
      <c r="CA35" s="24">
        <f t="shared" si="12"/>
        <v>0.99739564211525156</v>
      </c>
      <c r="CB35" s="24"/>
      <c r="CC35" s="24"/>
      <c r="CD35" s="24">
        <f t="shared" si="7"/>
        <v>2256.3051655305849</v>
      </c>
      <c r="CE35" s="24">
        <f t="shared" si="13"/>
        <v>8.6867682170957276E-4</v>
      </c>
      <c r="CF35" s="24">
        <f t="shared" si="8"/>
        <v>1.964284205996056E-7</v>
      </c>
      <c r="CG35" s="24">
        <f t="shared" si="14"/>
        <v>1.000868480393289</v>
      </c>
      <c r="CH35" s="24">
        <f t="shared" si="15"/>
        <v>1.0026077046095061</v>
      </c>
      <c r="CI35" s="24">
        <f t="shared" si="9"/>
        <v>1.2397907296844726</v>
      </c>
      <c r="CJ35" s="24"/>
    </row>
    <row r="36" spans="75:88" x14ac:dyDescent="0.25">
      <c r="BW36" s="24">
        <f t="shared" si="5"/>
        <v>2574.1643304187087</v>
      </c>
      <c r="BX36" s="24">
        <f t="shared" si="10"/>
        <v>7.6141215105765612E-4</v>
      </c>
      <c r="BY36" s="24">
        <f t="shared" si="6"/>
        <v>1.5091328190812338E-7</v>
      </c>
      <c r="BZ36" s="24">
        <f t="shared" si="11"/>
        <v>0.9992384369356605</v>
      </c>
      <c r="CA36" s="24">
        <f t="shared" si="12"/>
        <v>0.99771705030019431</v>
      </c>
      <c r="CB36" s="24"/>
      <c r="CC36" s="24"/>
      <c r="CD36" s="24">
        <f t="shared" si="7"/>
        <v>2574.1660785582581</v>
      </c>
      <c r="CE36" s="24">
        <f t="shared" si="13"/>
        <v>7.61411633975753E-4</v>
      </c>
      <c r="CF36" s="24">
        <f t="shared" si="8"/>
        <v>1.5091307693503388E-7</v>
      </c>
      <c r="CG36" s="24">
        <f t="shared" si="14"/>
        <v>1.0007612607208989</v>
      </c>
      <c r="CH36" s="24">
        <f t="shared" si="15"/>
        <v>1.0022855211575163</v>
      </c>
      <c r="CI36" s="24">
        <f t="shared" si="9"/>
        <v>0.92854836716213862</v>
      </c>
      <c r="CJ36" s="24"/>
    </row>
    <row r="37" spans="75:88" x14ac:dyDescent="0.25">
      <c r="BW37" s="24">
        <f t="shared" si="5"/>
        <v>2574.1643304187087</v>
      </c>
      <c r="BX37" s="24">
        <f t="shared" si="10"/>
        <v>7.6141215105765612E-4</v>
      </c>
      <c r="BY37" s="24">
        <f t="shared" si="6"/>
        <v>1.5091328190812338E-7</v>
      </c>
      <c r="BZ37" s="24">
        <f t="shared" si="11"/>
        <v>0.9992384369356605</v>
      </c>
      <c r="CA37" s="24">
        <f t="shared" si="12"/>
        <v>0.99771705030019431</v>
      </c>
      <c r="CB37" s="24"/>
      <c r="CC37" s="24"/>
      <c r="CD37" s="24">
        <f t="shared" si="7"/>
        <v>2574.1660785582581</v>
      </c>
      <c r="CE37" s="24">
        <f t="shared" si="13"/>
        <v>7.61411633975753E-4</v>
      </c>
      <c r="CF37" s="24">
        <f t="shared" si="8"/>
        <v>1.5091307693503388E-7</v>
      </c>
      <c r="CG37" s="24">
        <f t="shared" si="14"/>
        <v>1.0007612607208989</v>
      </c>
      <c r="CH37" s="24">
        <f t="shared" si="15"/>
        <v>1.0022855211575163</v>
      </c>
      <c r="CI37" s="24">
        <f t="shared" si="9"/>
        <v>1.0625546604629146</v>
      </c>
      <c r="CJ37" s="24"/>
    </row>
    <row r="38" spans="75:88" x14ac:dyDescent="0.25">
      <c r="BW38" s="24">
        <f t="shared" si="5"/>
        <v>2574.1643304187087</v>
      </c>
      <c r="BX38" s="24">
        <f t="shared" si="10"/>
        <v>7.6141215105765612E-4</v>
      </c>
      <c r="BY38" s="24">
        <f t="shared" si="6"/>
        <v>1.5091328190812338E-7</v>
      </c>
      <c r="BZ38" s="24">
        <f t="shared" si="11"/>
        <v>0.9992384369356605</v>
      </c>
      <c r="CA38" s="24">
        <f t="shared" si="12"/>
        <v>0.99771705030019431</v>
      </c>
      <c r="CB38" s="24"/>
      <c r="CC38" s="24"/>
      <c r="CD38" s="24">
        <f t="shared" si="7"/>
        <v>2574.1660785582581</v>
      </c>
      <c r="CE38" s="24">
        <f t="shared" si="13"/>
        <v>7.61411633975753E-4</v>
      </c>
      <c r="CF38" s="24">
        <f t="shared" si="8"/>
        <v>1.5091307693503388E-7</v>
      </c>
      <c r="CG38" s="24">
        <f t="shared" si="14"/>
        <v>1.0007612607208989</v>
      </c>
      <c r="CH38" s="24">
        <f t="shared" si="15"/>
        <v>1.0022855211575163</v>
      </c>
      <c r="CI38" s="24">
        <f t="shared" si="9"/>
        <v>1.0625546604629146</v>
      </c>
      <c r="CJ38" s="24"/>
    </row>
    <row r="39" spans="75:88" x14ac:dyDescent="0.25">
      <c r="BW39" s="24">
        <f t="shared" si="5"/>
        <v>2574.1643304187087</v>
      </c>
      <c r="BX39" s="24">
        <f t="shared" si="10"/>
        <v>7.6141215105765612E-4</v>
      </c>
      <c r="BY39" s="24">
        <f t="shared" si="6"/>
        <v>1.5091328190812338E-7</v>
      </c>
      <c r="BZ39" s="24">
        <f t="shared" si="11"/>
        <v>0.9992384369356605</v>
      </c>
      <c r="CA39" s="24">
        <f t="shared" si="12"/>
        <v>0.99771705030019431</v>
      </c>
      <c r="CB39" s="24"/>
      <c r="CC39" s="24"/>
      <c r="CD39" s="24">
        <f t="shared" si="7"/>
        <v>2574.1660785582581</v>
      </c>
      <c r="CE39" s="24">
        <f t="shared" si="13"/>
        <v>7.61411633975753E-4</v>
      </c>
      <c r="CF39" s="24">
        <f t="shared" si="8"/>
        <v>1.5091307693503388E-7</v>
      </c>
      <c r="CG39" s="24">
        <f t="shared" si="14"/>
        <v>1.0007612607208989</v>
      </c>
      <c r="CH39" s="24">
        <f t="shared" si="15"/>
        <v>1.0022855211575163</v>
      </c>
      <c r="CI39" s="24">
        <f t="shared" si="9"/>
        <v>1.0625546604629146</v>
      </c>
      <c r="CJ39" s="24"/>
    </row>
    <row r="40" spans="75:88" x14ac:dyDescent="0.25">
      <c r="BW40" s="24">
        <f t="shared" si="5"/>
        <v>2574.1643304187087</v>
      </c>
      <c r="BX40" s="24">
        <f t="shared" si="10"/>
        <v>7.6141215105765612E-4</v>
      </c>
      <c r="BY40" s="24">
        <f t="shared" si="6"/>
        <v>1.5091328190812338E-7</v>
      </c>
      <c r="BZ40" s="24">
        <f t="shared" si="11"/>
        <v>0.9992384369356605</v>
      </c>
      <c r="CA40" s="24">
        <f t="shared" si="12"/>
        <v>0.99771705030019431</v>
      </c>
      <c r="CB40" s="24"/>
      <c r="CC40" s="24"/>
      <c r="CD40" s="24">
        <f t="shared" si="7"/>
        <v>2574.1660785582581</v>
      </c>
      <c r="CE40" s="24">
        <f t="shared" si="13"/>
        <v>7.61411633975753E-4</v>
      </c>
      <c r="CF40" s="24">
        <f t="shared" si="8"/>
        <v>1.5091307693503388E-7</v>
      </c>
      <c r="CG40" s="24">
        <f t="shared" si="14"/>
        <v>1.0007612607208989</v>
      </c>
      <c r="CH40" s="24">
        <f t="shared" si="15"/>
        <v>1.0022855211575163</v>
      </c>
      <c r="CI40" s="24">
        <f t="shared" si="9"/>
        <v>1.0625546604629146</v>
      </c>
      <c r="CJ40" s="24"/>
    </row>
    <row r="41" spans="75:88" x14ac:dyDescent="0.25">
      <c r="BW41" s="24">
        <f t="shared" si="5"/>
        <v>2574.1643304187087</v>
      </c>
      <c r="BX41" s="24">
        <f t="shared" si="10"/>
        <v>7.6141215105765612E-4</v>
      </c>
      <c r="BY41" s="24">
        <f t="shared" si="6"/>
        <v>1.5091328190812338E-7</v>
      </c>
      <c r="BZ41" s="24">
        <f t="shared" si="11"/>
        <v>0.9992384369356605</v>
      </c>
      <c r="CA41" s="24">
        <f t="shared" si="12"/>
        <v>0.99771705030019431</v>
      </c>
      <c r="CB41" s="24"/>
      <c r="CC41" s="24"/>
      <c r="CD41" s="24">
        <f t="shared" si="7"/>
        <v>2574.1660785582581</v>
      </c>
      <c r="CE41" s="24">
        <f t="shared" si="13"/>
        <v>7.61411633975753E-4</v>
      </c>
      <c r="CF41" s="24">
        <f t="shared" si="8"/>
        <v>1.5091307693503388E-7</v>
      </c>
      <c r="CG41" s="24">
        <f t="shared" si="14"/>
        <v>1.0007612607208989</v>
      </c>
      <c r="CH41" s="24">
        <f t="shared" si="15"/>
        <v>1.0022855211575163</v>
      </c>
      <c r="CI41" s="24">
        <f t="shared" si="9"/>
        <v>1.0625546604629146</v>
      </c>
      <c r="CJ41" s="24"/>
    </row>
    <row r="42" spans="75:88" x14ac:dyDescent="0.25">
      <c r="BW42" s="24">
        <f t="shared" si="5"/>
        <v>2574.1643304187087</v>
      </c>
      <c r="BX42" s="24">
        <f t="shared" si="10"/>
        <v>7.6141215105765612E-4</v>
      </c>
      <c r="BY42" s="24">
        <f t="shared" si="6"/>
        <v>1.5091328190812338E-7</v>
      </c>
      <c r="BZ42" s="24">
        <f t="shared" si="11"/>
        <v>0.9992384369356605</v>
      </c>
      <c r="CA42" s="24">
        <f t="shared" si="12"/>
        <v>0.99771705030019431</v>
      </c>
      <c r="CB42" s="24"/>
      <c r="CC42" s="24"/>
      <c r="CD42" s="24">
        <f t="shared" si="7"/>
        <v>2574.1660785582581</v>
      </c>
      <c r="CE42" s="24">
        <f t="shared" si="13"/>
        <v>7.61411633975753E-4</v>
      </c>
      <c r="CF42" s="24">
        <f t="shared" si="8"/>
        <v>1.5091307693503388E-7</v>
      </c>
      <c r="CG42" s="24">
        <f t="shared" si="14"/>
        <v>1.0007612607208989</v>
      </c>
      <c r="CH42" s="24">
        <f t="shared" si="15"/>
        <v>1.0022855211575163</v>
      </c>
      <c r="CI42" s="24">
        <f t="shared" si="9"/>
        <v>1.0625546604629146</v>
      </c>
      <c r="CJ42" s="24"/>
    </row>
    <row r="43" spans="75:88" x14ac:dyDescent="0.25">
      <c r="BW43" s="24"/>
      <c r="BX43" s="24"/>
      <c r="BY43" s="24"/>
      <c r="BZ43" s="24"/>
      <c r="CA43" s="24"/>
      <c r="CB43" s="24"/>
      <c r="CC43" s="24"/>
      <c r="CD43" s="24"/>
      <c r="CE43" s="24"/>
      <c r="CF43" s="24"/>
      <c r="CG43" s="24"/>
      <c r="CH43" s="24"/>
      <c r="CI43" s="24"/>
      <c r="CJ43" s="24"/>
    </row>
  </sheetData>
  <sheetProtection algorithmName="SHA-512" hashValue="5VG2QB0tGDJzGysOQIT7r7XPPzPXREndogbdtFzBsSvwpgtCwApxYFRZbskpQQnw2p7RKAbCVuOhMBwKAG8uHg==" saltValue="a4fsLzneNTVUJKXU1jhnYA==" spinCount="100000" sheet="1" objects="1" scenarios="1"/>
  <mergeCells count="6">
    <mergeCell ref="F1:F2"/>
    <mergeCell ref="A1:A2"/>
    <mergeCell ref="B1:B2"/>
    <mergeCell ref="C1:C2"/>
    <mergeCell ref="D1:D2"/>
    <mergeCell ref="E1:E2"/>
  </mergeCells>
  <dataValidations count="3">
    <dataValidation allowBlank="1" showInputMessage="1" showErrorMessage="1" prompt="LÜTFEN İLGİLİ BİRİMİN ADINI YAZINIZ." sqref="A3:A12"/>
    <dataValidation type="whole" allowBlank="1" showInputMessage="1" showErrorMessage="1" errorTitle="VERİ GİRİŞ HATASI" error="LÜTFEN 0 İLE 1000000 ARASINDA BİR TAM SAYI GİRİNİZ!" prompt="LÜTFEN İLGİLİ BİRİME AİT GÖZLENEN ARAÇ GÜNÜ SAYISINI RAKAMLA YAZINIZ." sqref="B3:B12">
      <formula1>0</formula1>
      <formula2>1000000</formula2>
    </dataValidation>
    <dataValidation type="decimal" allowBlank="1" showInputMessage="1" showErrorMessage="1" errorTitle="VERİ GİRİŞ HATASI" error="ÖNGÖRÜLEN ARAÇ GÜNÜ SAYISI 1.0'DAN KÜÇÜK OLMAMALIDIR!" prompt="LÜTFEN İLGİLİ BİRİME AİT ÖNGÖRÜLEN ARAÇ GÜNÜ SAYISINI RAKAMLA YAZINIZ." sqref="C3:C12">
      <formula1>1</formula1>
      <formula2>1000000</formula2>
    </dataValidation>
  </dataValidations>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topLeftCell="B1" zoomScale="80" zoomScaleNormal="80" workbookViewId="0">
      <selection activeCell="C15" sqref="C15"/>
    </sheetView>
  </sheetViews>
  <sheetFormatPr defaultRowHeight="15" x14ac:dyDescent="0.25"/>
  <cols>
    <col min="1" max="1" width="20.28515625" customWidth="1"/>
    <col min="2" max="2" width="41.7109375" customWidth="1"/>
    <col min="3" max="3" width="35.28515625" customWidth="1"/>
    <col min="5" max="5" width="12.85546875" customWidth="1"/>
    <col min="6" max="6" width="15.28515625" customWidth="1"/>
    <col min="7" max="7" width="16.85546875" customWidth="1"/>
    <col min="8" max="8" width="18.7109375" customWidth="1"/>
    <col min="9" max="9" width="12.7109375" customWidth="1"/>
    <col min="10" max="10" width="14.28515625" bestFit="1" customWidth="1"/>
    <col min="11" max="11" width="29.140625" customWidth="1"/>
  </cols>
  <sheetData>
    <row r="1" spans="1:41" ht="15.75" x14ac:dyDescent="0.25">
      <c r="B1" s="2" t="s">
        <v>14</v>
      </c>
      <c r="C1" s="31" t="s">
        <v>15</v>
      </c>
      <c r="F1" s="10">
        <f>-1.5418 + 0.6951*C3+ 1.2763*C4 + 0.7362*C5 + 0.4106*C6 + 0.5107*C11+ 0.2243*C9 + 0.1802*C10 + -0.2265*C12 + 0.0542*C15/C14</f>
        <v>0.81803333333333328</v>
      </c>
      <c r="G1" s="10">
        <f>EXP(F1)</f>
        <v>2.2660389092026061</v>
      </c>
      <c r="H1" s="10">
        <f>G1/(1+G1)</f>
        <v>0.69381871196257516</v>
      </c>
      <c r="I1" s="10">
        <f>H1*C15</f>
        <v>1734.5467799064379</v>
      </c>
      <c r="J1" s="10"/>
      <c r="K1" s="10">
        <f>C2</f>
        <v>703</v>
      </c>
      <c r="L1" s="10">
        <f>I1</f>
        <v>1734.5467799064379</v>
      </c>
      <c r="M1" s="10">
        <f>K1/L1</f>
        <v>0.40529319136490516</v>
      </c>
      <c r="N1" s="10">
        <f>M1*Y1</f>
        <v>0.37588218290799252</v>
      </c>
      <c r="O1" s="10">
        <f>AJ1*AH1</f>
        <v>0.43639400910620252</v>
      </c>
      <c r="P1" s="10" t="str">
        <f>IF(AN1&lt;3.8415,"p &gt; 0.05 (ANLAMLI DEĞİL)","p &lt; 0.05 (ANLAMLI)")</f>
        <v>p &lt; 0.05 (ANLAMLI)</v>
      </c>
      <c r="Q1" s="10"/>
      <c r="R1" s="10"/>
      <c r="S1" s="10">
        <f>SQRT(K1)</f>
        <v>26.514147167125703</v>
      </c>
      <c r="T1" s="10">
        <f>3*S1</f>
        <v>79.542441501377112</v>
      </c>
      <c r="U1" s="10">
        <f>1.96/T1</f>
        <v>2.464093335588733E-2</v>
      </c>
      <c r="V1" s="10">
        <f>9*K1</f>
        <v>6327</v>
      </c>
      <c r="W1" s="10">
        <f>1/V1</f>
        <v>1.58052789631737E-4</v>
      </c>
      <c r="X1" s="10">
        <f>1-U1-W1</f>
        <v>0.97520101385448088</v>
      </c>
      <c r="Y1" s="10">
        <f>X1*X1*X1</f>
        <v>0.92743275958358629</v>
      </c>
      <c r="Z1" s="10"/>
      <c r="AA1" s="10">
        <f>K1+1</f>
        <v>704</v>
      </c>
      <c r="AB1" s="10">
        <f>SQRT(AA1)</f>
        <v>26.532998322843198</v>
      </c>
      <c r="AC1" s="10">
        <f>3*AB1</f>
        <v>79.598994968529595</v>
      </c>
      <c r="AD1" s="10">
        <f>1.96/AC1</f>
        <v>2.4623426473850695E-2</v>
      </c>
      <c r="AE1" s="10">
        <f>9*AA1</f>
        <v>6336</v>
      </c>
      <c r="AF1" s="10">
        <f>1/AE1</f>
        <v>1.5782828282828284E-4</v>
      </c>
      <c r="AG1" s="10">
        <f>1+AD1-AF1</f>
        <v>1.0244655981910225</v>
      </c>
      <c r="AH1" s="10">
        <f>AG1*AG1*AG1</f>
        <v>1.0752071353204891</v>
      </c>
      <c r="AI1" s="10"/>
      <c r="AJ1" s="10">
        <f>AA1/L1</f>
        <v>0.40586971084053092</v>
      </c>
      <c r="AK1" s="10"/>
      <c r="AL1" s="10">
        <f>K1-L1</f>
        <v>-1031.5467799064379</v>
      </c>
      <c r="AM1" s="10">
        <f>AL1*AL1</f>
        <v>1064088.759135341</v>
      </c>
      <c r="AN1" s="10">
        <f>AM1/L1</f>
        <v>613.46789343596629</v>
      </c>
      <c r="AO1" s="10"/>
    </row>
    <row r="2" spans="1:41" ht="15.75" x14ac:dyDescent="0.25">
      <c r="B2" s="2" t="s">
        <v>11</v>
      </c>
      <c r="C2" s="11">
        <v>703</v>
      </c>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row>
    <row r="3" spans="1:41" ht="15.75" x14ac:dyDescent="0.25">
      <c r="A3" s="90" t="s">
        <v>23</v>
      </c>
      <c r="B3" s="2" t="s">
        <v>0</v>
      </c>
      <c r="C3" s="11">
        <v>0</v>
      </c>
      <c r="D3" s="10">
        <f>COUNTA(C2:C20)</f>
        <v>18</v>
      </c>
    </row>
    <row r="4" spans="1:41" ht="18.75" x14ac:dyDescent="0.3">
      <c r="A4" s="90"/>
      <c r="B4" s="2" t="s">
        <v>1</v>
      </c>
      <c r="C4" s="11">
        <v>1</v>
      </c>
      <c r="D4" s="75" t="str">
        <f>IF(D3=18,"               ","LÜTFEN TÜM VERİ GİRİŞ ALANLARINI DOLDURUNUZ.")</f>
        <v xml:space="preserve">               </v>
      </c>
      <c r="E4" s="76"/>
      <c r="F4" s="81" t="str">
        <f>C18</f>
        <v>XXXXXXX EĞİTİM VE ARAŞTIRMA HASTANESİ</v>
      </c>
      <c r="G4" s="82"/>
      <c r="H4" s="82"/>
      <c r="I4" s="82"/>
      <c r="J4" s="82"/>
      <c r="K4" s="83"/>
    </row>
    <row r="5" spans="1:41" ht="18.75" x14ac:dyDescent="0.3">
      <c r="A5" s="90"/>
      <c r="B5" s="2" t="s">
        <v>2</v>
      </c>
      <c r="C5" s="12">
        <v>0</v>
      </c>
      <c r="D5" s="75"/>
      <c r="E5" s="76"/>
      <c r="F5" s="81" t="str">
        <f>C20</f>
        <v>KARMA YBÜ</v>
      </c>
      <c r="G5" s="82"/>
      <c r="H5" s="82"/>
      <c r="I5" s="82"/>
      <c r="J5" s="82"/>
      <c r="K5" s="83"/>
    </row>
    <row r="6" spans="1:41" ht="15.75" customHeight="1" x14ac:dyDescent="0.3">
      <c r="A6" s="90"/>
      <c r="B6" s="2" t="s">
        <v>3</v>
      </c>
      <c r="C6" s="11">
        <v>0</v>
      </c>
      <c r="D6" s="75"/>
      <c r="E6" s="76"/>
      <c r="F6" s="84" t="s">
        <v>30</v>
      </c>
      <c r="G6" s="85"/>
      <c r="H6" s="7">
        <f>C16</f>
        <v>44197</v>
      </c>
      <c r="I6" s="73">
        <f>C17</f>
        <v>44562</v>
      </c>
      <c r="J6" s="73"/>
      <c r="K6" s="74"/>
    </row>
    <row r="7" spans="1:41" ht="15.75" customHeight="1" x14ac:dyDescent="0.25">
      <c r="A7" s="90"/>
      <c r="B7" s="2" t="s">
        <v>4</v>
      </c>
      <c r="C7" s="11">
        <v>0</v>
      </c>
      <c r="D7" s="75"/>
      <c r="E7" s="76"/>
      <c r="F7" s="86" t="s">
        <v>28</v>
      </c>
      <c r="G7" s="86"/>
      <c r="H7" s="87" t="s">
        <v>29</v>
      </c>
      <c r="I7" s="88" t="s">
        <v>25</v>
      </c>
      <c r="J7" s="88" t="s">
        <v>26</v>
      </c>
      <c r="K7" s="87" t="s">
        <v>27</v>
      </c>
    </row>
    <row r="8" spans="1:41" ht="15.75" x14ac:dyDescent="0.25">
      <c r="A8" s="89" t="s">
        <v>22</v>
      </c>
      <c r="B8" s="2" t="s">
        <v>8</v>
      </c>
      <c r="C8" s="11">
        <v>0</v>
      </c>
      <c r="D8" s="75"/>
      <c r="E8" s="76"/>
      <c r="F8" s="86"/>
      <c r="G8" s="86"/>
      <c r="H8" s="87"/>
      <c r="I8" s="88"/>
      <c r="J8" s="88"/>
      <c r="K8" s="87"/>
    </row>
    <row r="9" spans="1:41" ht="15.75" x14ac:dyDescent="0.25">
      <c r="A9" s="89"/>
      <c r="B9" s="2" t="s">
        <v>6</v>
      </c>
      <c r="C9" s="11">
        <v>0</v>
      </c>
      <c r="D9" s="75"/>
      <c r="E9" s="76"/>
      <c r="F9" s="94">
        <f>I1</f>
        <v>1734.5467799064379</v>
      </c>
      <c r="G9" s="94"/>
      <c r="H9" s="8">
        <f>C2/I1</f>
        <v>0.40529319136490516</v>
      </c>
      <c r="I9" s="8">
        <f>N1</f>
        <v>0.37588218290799252</v>
      </c>
      <c r="J9" s="8">
        <f>O1</f>
        <v>0.43639400910620252</v>
      </c>
      <c r="K9" s="9" t="str">
        <f>P1</f>
        <v>p &lt; 0.05 (ANLAMLI)</v>
      </c>
    </row>
    <row r="10" spans="1:41" ht="15.75" x14ac:dyDescent="0.25">
      <c r="A10" s="89"/>
      <c r="B10" s="2" t="s">
        <v>7</v>
      </c>
      <c r="C10" s="11">
        <v>1</v>
      </c>
      <c r="D10" s="75"/>
      <c r="E10" s="76"/>
      <c r="F10" s="95" t="str">
        <f>IF(F7&lt;1,"VENTİLATÖR GÜNÜ SAYISI &lt;1.0 OLDUĞU İÇİN SAKO HESAPLAMALARI DİKKATE ALINMAMALIDIR!","                      ")</f>
        <v xml:space="preserve">                      </v>
      </c>
      <c r="G10" s="95"/>
      <c r="H10" s="95"/>
      <c r="I10" s="95"/>
      <c r="J10" s="95"/>
      <c r="K10" s="95"/>
    </row>
    <row r="11" spans="1:41" ht="15.75" x14ac:dyDescent="0.25">
      <c r="A11" s="89"/>
      <c r="B11" s="2" t="s">
        <v>5</v>
      </c>
      <c r="C11" s="11">
        <v>0</v>
      </c>
      <c r="D11" s="75"/>
      <c r="E11" s="76"/>
      <c r="F11" s="92" t="str">
        <f>IF(C2=0,"GÖZLENEN VENTİLATÖR GÜNÜ SAYISI GİRİLMEDİĞİ İÇİN %95 GA ALT SINIRI HESAPLANAMAMAKTADIR","                 ")</f>
        <v xml:space="preserve">                 </v>
      </c>
      <c r="G11" s="92"/>
      <c r="H11" s="92"/>
      <c r="I11" s="92"/>
      <c r="J11" s="92"/>
      <c r="K11" s="92"/>
    </row>
    <row r="12" spans="1:41" ht="27.75" customHeight="1" x14ac:dyDescent="0.25">
      <c r="A12" s="91" t="s">
        <v>24</v>
      </c>
      <c r="B12" s="2" t="s">
        <v>9</v>
      </c>
      <c r="C12" s="11">
        <v>0</v>
      </c>
      <c r="D12" s="75"/>
      <c r="E12" s="76"/>
      <c r="F12" s="92"/>
      <c r="G12" s="92"/>
      <c r="H12" s="92"/>
      <c r="I12" s="92"/>
      <c r="J12" s="92"/>
      <c r="K12" s="92"/>
    </row>
    <row r="13" spans="1:41" ht="32.25" customHeight="1" x14ac:dyDescent="0.25">
      <c r="A13" s="91"/>
      <c r="B13" s="2" t="s">
        <v>10</v>
      </c>
      <c r="C13" s="11">
        <v>1</v>
      </c>
    </row>
    <row r="14" spans="1:41" ht="15.75" x14ac:dyDescent="0.25">
      <c r="B14" s="2" t="s">
        <v>12</v>
      </c>
      <c r="C14" s="11">
        <v>150</v>
      </c>
    </row>
    <row r="15" spans="1:41" ht="15.75" x14ac:dyDescent="0.25">
      <c r="B15" s="2" t="s">
        <v>13</v>
      </c>
      <c r="C15" s="11">
        <v>2500</v>
      </c>
    </row>
    <row r="16" spans="1:41" ht="15.75" x14ac:dyDescent="0.25">
      <c r="B16" s="3" t="s">
        <v>16</v>
      </c>
      <c r="C16" s="5">
        <v>44197</v>
      </c>
    </row>
    <row r="17" spans="2:3" ht="15.75" x14ac:dyDescent="0.25">
      <c r="B17" s="3" t="s">
        <v>17</v>
      </c>
      <c r="C17" s="5">
        <v>44562</v>
      </c>
    </row>
    <row r="18" spans="2:3" x14ac:dyDescent="0.25">
      <c r="B18" s="79" t="s">
        <v>18</v>
      </c>
      <c r="C18" s="77" t="s">
        <v>19</v>
      </c>
    </row>
    <row r="19" spans="2:3" x14ac:dyDescent="0.25">
      <c r="B19" s="80"/>
      <c r="C19" s="78"/>
    </row>
    <row r="20" spans="2:3" x14ac:dyDescent="0.25">
      <c r="B20" s="4" t="s">
        <v>20</v>
      </c>
      <c r="C20" s="6" t="s">
        <v>32</v>
      </c>
    </row>
    <row r="21" spans="2:3" x14ac:dyDescent="0.25">
      <c r="B21" s="92" t="str">
        <f>IF(C8+C9+C10+C11=1,"                                    ","LÜTFEN KURUM TÜRÜNE AİT DÖRT KATEGORİ İÇİN VERİLERİNİZİ KONTROL EDİNİZ!")</f>
        <v xml:space="preserve">                                    </v>
      </c>
      <c r="C21" s="93"/>
    </row>
    <row r="22" spans="2:3" x14ac:dyDescent="0.25">
      <c r="B22" s="93"/>
      <c r="C22" s="93"/>
    </row>
    <row r="23" spans="2:3" x14ac:dyDescent="0.25">
      <c r="B23" s="92" t="str">
        <f>IF(C3+C4+C5+C6+C7=1,"                    ","LÜTFEN YBÜ BRANŞINA AİT BEŞ KATEGORİ İÇİN VERİLERİNİZİ KONTROL EDİNİZ!")</f>
        <v xml:space="preserve">                    </v>
      </c>
      <c r="C23" s="92"/>
    </row>
    <row r="24" spans="2:3" x14ac:dyDescent="0.25">
      <c r="B24" s="92"/>
      <c r="C24" s="92"/>
    </row>
    <row r="25" spans="2:3" x14ac:dyDescent="0.25">
      <c r="B25" s="92" t="str">
        <f>IF(C12+C13=1,"                    ","LÜTFEN KURUM YATAK SAYISINA AİT İKİ KATEGORİ İÇİN VERİLERİNİZİ KONTROL EDİNİZ!")</f>
        <v xml:space="preserve">                    </v>
      </c>
      <c r="C25" s="92"/>
    </row>
    <row r="26" spans="2:3" x14ac:dyDescent="0.25">
      <c r="B26" s="92"/>
      <c r="C26" s="92"/>
    </row>
    <row r="27" spans="2:3" x14ac:dyDescent="0.25">
      <c r="B27" s="92" t="str">
        <f>IF(C14&gt;C15,"HASTA SAYISI HASTA GÜNÜNDEN BÜYÜK OLAMAZ!","                         ")</f>
        <v xml:space="preserve">                         </v>
      </c>
      <c r="C27" s="92"/>
    </row>
    <row r="28" spans="2:3" x14ac:dyDescent="0.25">
      <c r="B28" s="92" t="str">
        <f>IF(C2&gt;C15,"VENTİLATÖR GÜNÜ HASTA GÜNÜNDEN BÜYÜK OLAMAZ!","                    ")</f>
        <v xml:space="preserve">                    </v>
      </c>
      <c r="C28" s="92"/>
    </row>
    <row r="29" spans="2:3" x14ac:dyDescent="0.25">
      <c r="B29" s="92" t="str">
        <f>IF(C17&gt;C16,"                ","DÖNEM BAŞLANGICI DÖNEM BİTİŞİNDEN ÖNCE OLMALIDIR!")</f>
        <v xml:space="preserve">                </v>
      </c>
      <c r="C29" s="92"/>
    </row>
  </sheetData>
  <sheetProtection algorithmName="SHA-512" hashValue="TmcR7RtO7ezbv4nQjhICWvE+3isbDPp3Ixo4bYYswIx06n2GV2A7of7+M+AERmqjPUCQ50Ppg1dqcr9uy/I8xw==" saltValue="npLAjZt07EEJU3Z+/8k5RQ==" spinCount="100000" sheet="1" objects="1" scenarios="1"/>
  <mergeCells count="24">
    <mergeCell ref="B27:C27"/>
    <mergeCell ref="B28:C28"/>
    <mergeCell ref="B29:C29"/>
    <mergeCell ref="F9:G9"/>
    <mergeCell ref="F10:K10"/>
    <mergeCell ref="F11:K12"/>
    <mergeCell ref="A8:A11"/>
    <mergeCell ref="A3:A7"/>
    <mergeCell ref="A12:A13"/>
    <mergeCell ref="B23:C24"/>
    <mergeCell ref="B25:C26"/>
    <mergeCell ref="B21:C22"/>
    <mergeCell ref="I6:K6"/>
    <mergeCell ref="D4:E12"/>
    <mergeCell ref="C18:C19"/>
    <mergeCell ref="B18:B19"/>
    <mergeCell ref="F4:K4"/>
    <mergeCell ref="F5:K5"/>
    <mergeCell ref="F6:G6"/>
    <mergeCell ref="F7:G8"/>
    <mergeCell ref="H7:H8"/>
    <mergeCell ref="I7:I8"/>
    <mergeCell ref="J7:J8"/>
    <mergeCell ref="K7:K8"/>
  </mergeCells>
  <dataValidations xWindow="195" yWindow="340" count="17">
    <dataValidation type="whole" operator="greaterThanOrEqual" allowBlank="1" showInputMessage="1" showErrorMessage="1" error="Lütfen 50 ve üzerinde bir tam sayı (rakamla) yazınız." promptTitle="Gözlenen ventilatör günü" prompt="Lütfen gözlenen ventilatör günü sayısını (rakamla) giriniz." sqref="C2">
      <formula1>50</formula1>
    </dataValidation>
    <dataValidation type="whole" allowBlank="1" showInputMessage="1" showErrorMessage="1" error="Lütfen 0 veya 1 (rakamla) yazınız." promptTitle="YBÜ branşı" prompt="Lütfen YBÜ branşı Karma YBÜ ise '1', değilse '0' giriniz." sqref="C3">
      <formula1>0</formula1>
      <formula2>1</formula2>
    </dataValidation>
    <dataValidation type="whole" allowBlank="1" showInputMessage="1" showErrorMessage="1" error="Lütfen 0 veya 1 (rakamla) yazınız." promptTitle="YBÜ branşı" prompt="Lütfen YBÜ branşı Anestezi ve Reanimasyon YBÜ ise '1', değilse '0' giriniz." sqref="C4">
      <formula1>0</formula1>
      <formula2>1</formula2>
    </dataValidation>
    <dataValidation type="whole" allowBlank="1" showInputMessage="1" showErrorMessage="1" error="Lütfen 0 veya 1 (rakamla) yazınız." promptTitle="YBÜ branşı" prompt="Lütfen YBÜ branşı Çocuk Hastalıkları YBÜ ise '1', değilse '0' giriniz." sqref="C5">
      <formula1>0</formula1>
      <formula2>1</formula2>
    </dataValidation>
    <dataValidation type="whole" allowBlank="1" showInputMessage="1" showErrorMessage="1" error="Lütfen 0 veya 1 (rakamla) yazınız." promptTitle="YBÜ branşı" prompt="Lütfen YBÜ branşı Erişkin Cerrahi YBÜ'ler ise '1', değilse '0' giriniz." sqref="C6:C7">
      <formula1>0</formula1>
      <formula2>1</formula2>
    </dataValidation>
    <dataValidation type="whole" allowBlank="1" showInputMessage="1" showErrorMessage="1" error="Lütfen 0 veya 1 (rakamla) yazınız." promptTitle="Kurum türü" prompt="Lütfen kurum türü 'Devlet Hastanesi' ise 1, değilse '0' giriniz." sqref="C8">
      <formula1>0</formula1>
      <formula2>1</formula2>
    </dataValidation>
    <dataValidation type="whole" operator="greaterThan" allowBlank="1" showInputMessage="1" showErrorMessage="1" error="Lütfen sıfırdan büyük bir tam sayı (rakamla) yazınız." promptTitle="Hasta sayısı" prompt="Lütfen hasta sayısını (rakamla) giriniz." sqref="C14">
      <formula1>0</formula1>
    </dataValidation>
    <dataValidation type="whole" operator="greaterThanOrEqual" allowBlank="1" showInputMessage="1" showErrorMessage="1" error="Lütfen 50 ve üzerinde bir tam sayıs (rakamla) yazınız." promptTitle="Hasta günü" prompt="Lütfen hasta günü sayısını (rakamla) giriniz." sqref="C15">
      <formula1>50</formula1>
    </dataValidation>
    <dataValidation type="whole" allowBlank="1" showInputMessage="1" showErrorMessage="1" error="Lütfen 0 veya 1 (rakamla) yazınız." promptTitle="Kurum yatak sayısı" prompt="Lütfen kurum yatak sayısı 200'ün üzerinde ise '1', değilse '0' giriniz." sqref="C13">
      <formula1>0</formula1>
      <formula2>1</formula2>
    </dataValidation>
    <dataValidation type="whole" allowBlank="1" showInputMessage="1" showErrorMessage="1" error="Lütfen 0 veya 1 (rakamla) yazınız." promptTitle="Kurum türü" prompt="Lütfen kurum türü 'Eğitim Araştırma Hastanesi' ise 1, değilse '0' giriniz." sqref="C9">
      <formula1>0</formula1>
      <formula2>1</formula2>
    </dataValidation>
    <dataValidation type="whole" allowBlank="1" showInputMessage="1" showErrorMessage="1" error="Lütfen 0 veya 1 (rakamla) yazınız." promptTitle="Kurum türü" prompt="Lütfen kurum türü 'Üniversite Hastanesi' ise 1, değilse '0' giriniz." sqref="C10">
      <formula1>0</formula1>
      <formula2>1</formula2>
    </dataValidation>
    <dataValidation type="whole" allowBlank="1" showInputMessage="1" showErrorMessage="1" error="Lütfen 0 veya 1 (rakamla) yazınız." promptTitle="Kurum türü" prompt="Lütfen kurum türü 'Özel Hastane' ise 1, değilse '0' giriniz." sqref="C11">
      <formula1>0</formula1>
      <formula2>1</formula2>
    </dataValidation>
    <dataValidation type="whole" allowBlank="1" showInputMessage="1" showErrorMessage="1" error="Lütfen 0 veya 1 (rakamla) yazınız." promptTitle="Kurum yatak sayısı" prompt="Lütfen kurum yatak sayısı 200 ve altında ise '1', değilse '0' giriniz." sqref="C12">
      <formula1>0</formula1>
      <formula2>1</formula2>
    </dataValidation>
    <dataValidation type="date" allowBlank="1" showInputMessage="1" showErrorMessage="1" errorTitle="VERİ GİRİŞ HATASI" error="LÜTFEN 1.01.2016 İLE 31.12.2025 ARASINDA BİR TARİH GİRİNİZ." prompt="İlgili dönemin başlangıç tarihini gg.aa.yyyy şeklinde yazınız." sqref="C16">
      <formula1>42370</formula1>
      <formula2>46022</formula2>
    </dataValidation>
    <dataValidation type="textLength" allowBlank="1" showInputMessage="1" showErrorMessage="1" prompt="İlgili birimin adını yazınız." sqref="C20">
      <formula1>5</formula1>
      <formula2>1000</formula2>
    </dataValidation>
    <dataValidation type="textLength" allowBlank="1" showInputMessage="1" showErrorMessage="1" prompt="İlgili kurumun adını yazınız." sqref="C18:C19">
      <formula1>10</formula1>
      <formula2>1000</formula2>
    </dataValidation>
    <dataValidation type="date" allowBlank="1" showInputMessage="1" showErrorMessage="1" error="LÜTFEN 1.01.2016 İLE 31.12.2025 ARASINDA BİR TARİH GİRİNİZ." prompt="İlgili dönemin bitiş tarihini gg.aa.yyyy şeklinde yazınız." sqref="C17">
      <formula1>42370</formula1>
      <formula2>46022</formula2>
    </dataValidation>
  </dataValidations>
  <pageMargins left="0.7" right="0.7" top="0.75" bottom="0.75" header="0.3" footer="0.3"/>
  <pageSetup paperSize="9" orientation="portrait" horizontalDpi="3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topLeftCell="A16" zoomScale="80" zoomScaleNormal="80" workbookViewId="0">
      <selection activeCell="D3" sqref="D3"/>
    </sheetView>
  </sheetViews>
  <sheetFormatPr defaultRowHeight="15" x14ac:dyDescent="0.25"/>
  <cols>
    <col min="1" max="1" width="23.140625" customWidth="1"/>
    <col min="2" max="2" width="24.42578125" customWidth="1"/>
    <col min="3" max="3" width="41.7109375" customWidth="1"/>
    <col min="4" max="4" width="35.28515625" customWidth="1"/>
    <col min="6" max="6" width="12.85546875" customWidth="1"/>
    <col min="7" max="7" width="15.28515625" customWidth="1"/>
    <col min="8" max="8" width="16.85546875" customWidth="1"/>
    <col min="9" max="9" width="18.7109375" customWidth="1"/>
    <col min="10" max="10" width="12.7109375" customWidth="1"/>
    <col min="11" max="11" width="14.28515625" bestFit="1" customWidth="1"/>
    <col min="12" max="12" width="29.140625" customWidth="1"/>
  </cols>
  <sheetData>
    <row r="1" spans="1:42" ht="15.75" x14ac:dyDescent="0.25">
      <c r="C1" s="2" t="s">
        <v>14</v>
      </c>
      <c r="D1" s="31" t="s">
        <v>15</v>
      </c>
      <c r="G1" s="10">
        <f>-2.949378 + (1.78804*D3) + (0.608747*D4) + (0.608747*D5) + (1.310475*D11) + (0.523641*D9) + (0.657526*D10) + (0.04155*D14) + (0.052872*D13) + (0.205996*D16) + (0.014342*(D18/D17))</f>
        <v>-2.6757090560000001</v>
      </c>
      <c r="H1" s="10">
        <f>EXP(G1)</f>
        <v>6.885798691226773E-2</v>
      </c>
      <c r="I1" s="10">
        <f>H1/(1+H1)</f>
        <v>6.4422016540462659E-2</v>
      </c>
      <c r="J1" s="10">
        <f>I1*D19</f>
        <v>7.4085319021532055</v>
      </c>
      <c r="K1" s="10"/>
      <c r="L1" s="10">
        <f>D2</f>
        <v>102</v>
      </c>
      <c r="M1" s="10">
        <f>J1</f>
        <v>7.4085319021532055</v>
      </c>
      <c r="N1" s="10">
        <f>L1/M1</f>
        <v>13.767909937777937</v>
      </c>
      <c r="O1" s="10">
        <f>N1*Z1</f>
        <v>11.225790750832434</v>
      </c>
      <c r="P1" s="10">
        <f>AK1*AI1</f>
        <v>16.713512449207219</v>
      </c>
      <c r="Q1" s="10" t="str">
        <f>IF(AO1&lt;3.8415,"p &gt; 0.05 (ANLAMLI DEĞİL)","p &lt; 0.05 (ANLAMLI)")</f>
        <v>p &lt; 0.05 (ANLAMLI)</v>
      </c>
      <c r="R1" s="10"/>
      <c r="S1" s="10"/>
      <c r="T1" s="10">
        <f>SQRT(L1)</f>
        <v>10.099504938362077</v>
      </c>
      <c r="U1" s="10">
        <f>3*T1</f>
        <v>30.298514815086232</v>
      </c>
      <c r="V1" s="10">
        <f>1.96/U1</f>
        <v>6.4689639474476063E-2</v>
      </c>
      <c r="W1" s="10">
        <f>9*L1</f>
        <v>918</v>
      </c>
      <c r="X1" s="10">
        <f>1/W1</f>
        <v>1.0893246187363835E-3</v>
      </c>
      <c r="Y1" s="10">
        <f>1-V1-X1</f>
        <v>0.93422103590678762</v>
      </c>
      <c r="Z1" s="10">
        <f>Y1*Y1*Y1</f>
        <v>0.81535910690625957</v>
      </c>
      <c r="AA1" s="10"/>
      <c r="AB1" s="10">
        <f>L1+1</f>
        <v>103</v>
      </c>
      <c r="AC1" s="10">
        <f>SQRT(AB1)</f>
        <v>10.148891565092219</v>
      </c>
      <c r="AD1" s="10">
        <f>3*AC1</f>
        <v>30.446674695276656</v>
      </c>
      <c r="AE1" s="10">
        <f>1.96/AD1</f>
        <v>6.4374846173400488E-2</v>
      </c>
      <c r="AF1" s="10">
        <f>9*AB1</f>
        <v>927</v>
      </c>
      <c r="AG1" s="10">
        <f>1/AF1</f>
        <v>1.0787486515641855E-3</v>
      </c>
      <c r="AH1" s="10">
        <f>1+AE1-AG1</f>
        <v>1.0632960975218362</v>
      </c>
      <c r="AI1" s="10">
        <f>AH1*AH1*AH1</f>
        <v>1.2021610696794798</v>
      </c>
      <c r="AJ1" s="10"/>
      <c r="AK1" s="10">
        <f>AB1/M1</f>
        <v>13.902889446971839</v>
      </c>
      <c r="AL1" s="10"/>
      <c r="AM1" s="10">
        <f>L1-M1</f>
        <v>94.5914680978468</v>
      </c>
      <c r="AN1" s="10">
        <f>AM1*AM1</f>
        <v>8947.5458369059688</v>
      </c>
      <c r="AO1" s="10">
        <f>AN1/M1</f>
        <v>1207.7353455555028</v>
      </c>
      <c r="AP1" s="10"/>
    </row>
    <row r="2" spans="1:42" ht="15.75" x14ac:dyDescent="0.25">
      <c r="C2" s="2" t="s">
        <v>11</v>
      </c>
      <c r="D2" s="11">
        <v>102</v>
      </c>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spans="1:42" ht="15.75" x14ac:dyDescent="0.25">
      <c r="A3" s="90" t="s">
        <v>23</v>
      </c>
      <c r="B3" s="103" t="s">
        <v>73</v>
      </c>
      <c r="C3" s="2" t="s">
        <v>74</v>
      </c>
      <c r="D3" s="11">
        <v>0</v>
      </c>
      <c r="E3" s="10">
        <f>COUNTA(D2:D24)</f>
        <v>22</v>
      </c>
    </row>
    <row r="4" spans="1:42" ht="18.75" x14ac:dyDescent="0.3">
      <c r="A4" s="90"/>
      <c r="B4" s="104"/>
      <c r="C4" s="2" t="s">
        <v>75</v>
      </c>
      <c r="D4" s="11">
        <v>0</v>
      </c>
      <c r="E4" s="75" t="str">
        <f>IF(E3=21,"LÜTFEN TÜM VERİ GİRİŞ ALANLARINI DOLDURUNUZ.","                       ")</f>
        <v xml:space="preserve">                       </v>
      </c>
      <c r="F4" s="76"/>
      <c r="G4" s="81" t="str">
        <f>D22</f>
        <v>XXXXXXX EĞİTİM VE ARAŞTIRMA HASTANESİ</v>
      </c>
      <c r="H4" s="82"/>
      <c r="I4" s="82"/>
      <c r="J4" s="82"/>
      <c r="K4" s="82"/>
      <c r="L4" s="83"/>
    </row>
    <row r="5" spans="1:42" ht="18.75" x14ac:dyDescent="0.3">
      <c r="A5" s="90"/>
      <c r="B5" s="104"/>
      <c r="C5" s="2" t="s">
        <v>77</v>
      </c>
      <c r="D5" s="11">
        <v>0</v>
      </c>
      <c r="E5" s="75"/>
      <c r="F5" s="76"/>
      <c r="G5" s="81" t="str">
        <f>D24</f>
        <v>KARMA YBÜ</v>
      </c>
      <c r="H5" s="82"/>
      <c r="I5" s="82"/>
      <c r="J5" s="82"/>
      <c r="K5" s="82"/>
      <c r="L5" s="83"/>
    </row>
    <row r="6" spans="1:42" ht="15.75" customHeight="1" x14ac:dyDescent="0.3">
      <c r="A6" s="90"/>
      <c r="B6" s="104"/>
      <c r="C6" s="2" t="s">
        <v>76</v>
      </c>
      <c r="D6" s="11">
        <v>0</v>
      </c>
      <c r="E6" s="75"/>
      <c r="F6" s="76"/>
      <c r="G6" s="84" t="s">
        <v>30</v>
      </c>
      <c r="H6" s="85"/>
      <c r="I6" s="7">
        <f>D20</f>
        <v>44228</v>
      </c>
      <c r="J6" s="73">
        <f>D21</f>
        <v>44593</v>
      </c>
      <c r="K6" s="73"/>
      <c r="L6" s="74"/>
    </row>
    <row r="7" spans="1:42" ht="15.75" customHeight="1" x14ac:dyDescent="0.25">
      <c r="A7" s="90"/>
      <c r="B7" s="105"/>
      <c r="C7" s="2" t="s">
        <v>78</v>
      </c>
      <c r="D7" s="11">
        <v>1</v>
      </c>
      <c r="E7" s="75"/>
      <c r="F7" s="76"/>
      <c r="G7" s="86" t="s">
        <v>28</v>
      </c>
      <c r="H7" s="86"/>
      <c r="I7" s="87" t="s">
        <v>29</v>
      </c>
      <c r="J7" s="88" t="s">
        <v>25</v>
      </c>
      <c r="K7" s="88" t="s">
        <v>26</v>
      </c>
      <c r="L7" s="87" t="s">
        <v>27</v>
      </c>
    </row>
    <row r="8" spans="1:42" ht="15.75" x14ac:dyDescent="0.25">
      <c r="A8" s="89" t="s">
        <v>22</v>
      </c>
      <c r="B8" s="99" t="s">
        <v>83</v>
      </c>
      <c r="C8" s="2" t="s">
        <v>8</v>
      </c>
      <c r="D8" s="11">
        <v>1</v>
      </c>
      <c r="E8" s="75"/>
      <c r="F8" s="76"/>
      <c r="G8" s="86"/>
      <c r="H8" s="86"/>
      <c r="I8" s="87"/>
      <c r="J8" s="88"/>
      <c r="K8" s="88"/>
      <c r="L8" s="87"/>
    </row>
    <row r="9" spans="1:42" ht="15.75" x14ac:dyDescent="0.25">
      <c r="A9" s="89"/>
      <c r="B9" s="100"/>
      <c r="C9" s="2" t="s">
        <v>6</v>
      </c>
      <c r="D9" s="11">
        <v>0</v>
      </c>
      <c r="E9" s="75"/>
      <c r="F9" s="76"/>
      <c r="G9" s="94">
        <f>J1</f>
        <v>7.4085319021532055</v>
      </c>
      <c r="H9" s="94"/>
      <c r="I9" s="8">
        <f>D2/J1</f>
        <v>13.767909937777937</v>
      </c>
      <c r="J9" s="8">
        <f>O1</f>
        <v>11.225790750832434</v>
      </c>
      <c r="K9" s="8">
        <f>P1</f>
        <v>16.713512449207219</v>
      </c>
      <c r="L9" s="9" t="str">
        <f>Q1</f>
        <v>p &lt; 0.05 (ANLAMLI)</v>
      </c>
    </row>
    <row r="10" spans="1:42" ht="15.75" x14ac:dyDescent="0.25">
      <c r="A10" s="89"/>
      <c r="B10" s="100"/>
      <c r="C10" s="2" t="s">
        <v>7</v>
      </c>
      <c r="D10" s="11">
        <v>0</v>
      </c>
      <c r="E10" s="75"/>
      <c r="F10" s="76"/>
      <c r="G10" s="95" t="str">
        <f>IF(G7&lt;1,"VENTİLATÖR GÜNÜ SAYISI &lt;1.0 OLDUĞU İÇİN SAKO HESAPLAMALARI DİKKATE ALINMAMALIDIR!","                      ")</f>
        <v xml:space="preserve">                      </v>
      </c>
      <c r="H10" s="95"/>
      <c r="I10" s="95"/>
      <c r="J10" s="95"/>
      <c r="K10" s="95"/>
      <c r="L10" s="95"/>
    </row>
    <row r="11" spans="1:42" ht="15.75" x14ac:dyDescent="0.25">
      <c r="A11" s="89"/>
      <c r="B11" s="101"/>
      <c r="C11" s="2" t="s">
        <v>5</v>
      </c>
      <c r="D11" s="11">
        <v>0</v>
      </c>
      <c r="E11" s="75"/>
      <c r="F11" s="76"/>
      <c r="G11" s="92" t="str">
        <f>IF(D2=0,"GÖZLENEN VENTİLATÖR GÜNÜ SAYISI GİRİLMEDİĞİ İÇİN %95 GA ALT SINIRI HESAPLANAMAMAKTADIR","                 ")</f>
        <v xml:space="preserve">                 </v>
      </c>
      <c r="H11" s="92"/>
      <c r="I11" s="92"/>
      <c r="J11" s="92"/>
      <c r="K11" s="92"/>
      <c r="L11" s="92"/>
    </row>
    <row r="12" spans="1:42" ht="27.75" customHeight="1" x14ac:dyDescent="0.25">
      <c r="A12" s="106" t="s">
        <v>82</v>
      </c>
      <c r="B12" s="98" t="s">
        <v>87</v>
      </c>
      <c r="C12" s="2" t="s">
        <v>79</v>
      </c>
      <c r="D12" s="11">
        <v>0</v>
      </c>
      <c r="E12" s="75"/>
      <c r="F12" s="76"/>
      <c r="G12" s="92"/>
      <c r="H12" s="92"/>
      <c r="I12" s="92"/>
      <c r="J12" s="92"/>
      <c r="K12" s="92"/>
      <c r="L12" s="92"/>
    </row>
    <row r="13" spans="1:42" ht="32.25" customHeight="1" x14ac:dyDescent="0.25">
      <c r="A13" s="106"/>
      <c r="B13" s="98"/>
      <c r="C13" s="2" t="s">
        <v>80</v>
      </c>
      <c r="D13" s="11">
        <v>1</v>
      </c>
    </row>
    <row r="14" spans="1:42" ht="32.25" customHeight="1" x14ac:dyDescent="0.25">
      <c r="A14" s="106"/>
      <c r="B14" s="98"/>
      <c r="C14" s="2" t="s">
        <v>81</v>
      </c>
      <c r="D14" s="11">
        <v>0</v>
      </c>
    </row>
    <row r="15" spans="1:42" ht="32.25" customHeight="1" x14ac:dyDescent="0.25">
      <c r="A15" s="91" t="s">
        <v>24</v>
      </c>
      <c r="B15" s="102" t="s">
        <v>86</v>
      </c>
      <c r="C15" s="2" t="s">
        <v>84</v>
      </c>
      <c r="D15" s="11">
        <v>0</v>
      </c>
    </row>
    <row r="16" spans="1:42" ht="32.25" customHeight="1" x14ac:dyDescent="0.25">
      <c r="A16" s="91"/>
      <c r="B16" s="102"/>
      <c r="C16" s="2" t="s">
        <v>85</v>
      </c>
      <c r="D16" s="11">
        <v>1</v>
      </c>
    </row>
    <row r="17" spans="1:4" ht="28.5" customHeight="1" x14ac:dyDescent="0.25">
      <c r="A17" s="96" t="s">
        <v>91</v>
      </c>
      <c r="B17" s="96"/>
      <c r="C17" s="2" t="s">
        <v>90</v>
      </c>
      <c r="D17" s="11">
        <v>250</v>
      </c>
    </row>
    <row r="18" spans="1:4" ht="23.25" customHeight="1" x14ac:dyDescent="0.25">
      <c r="A18" s="96" t="s">
        <v>91</v>
      </c>
      <c r="B18" s="96"/>
      <c r="C18" s="2" t="s">
        <v>89</v>
      </c>
      <c r="D18" s="11">
        <v>258</v>
      </c>
    </row>
    <row r="19" spans="1:4" ht="28.5" customHeight="1" x14ac:dyDescent="0.25">
      <c r="A19" s="97" t="s">
        <v>92</v>
      </c>
      <c r="B19" s="97"/>
      <c r="C19" s="2" t="s">
        <v>88</v>
      </c>
      <c r="D19" s="11">
        <v>115</v>
      </c>
    </row>
    <row r="20" spans="1:4" ht="15.75" x14ac:dyDescent="0.25">
      <c r="C20" s="3" t="s">
        <v>16</v>
      </c>
      <c r="D20" s="5">
        <v>44228</v>
      </c>
    </row>
    <row r="21" spans="1:4" ht="15.75" x14ac:dyDescent="0.25">
      <c r="C21" s="3" t="s">
        <v>17</v>
      </c>
      <c r="D21" s="5">
        <v>44593</v>
      </c>
    </row>
    <row r="22" spans="1:4" x14ac:dyDescent="0.25">
      <c r="C22" s="79" t="s">
        <v>18</v>
      </c>
      <c r="D22" s="77" t="s">
        <v>19</v>
      </c>
    </row>
    <row r="23" spans="1:4" x14ac:dyDescent="0.25">
      <c r="C23" s="80"/>
      <c r="D23" s="78"/>
    </row>
    <row r="24" spans="1:4" x14ac:dyDescent="0.25">
      <c r="C24" s="4" t="s">
        <v>20</v>
      </c>
      <c r="D24" s="6" t="s">
        <v>32</v>
      </c>
    </row>
    <row r="25" spans="1:4" x14ac:dyDescent="0.25">
      <c r="C25" s="92" t="str">
        <f>IF(D8+D9+D10+D11=1,"                                    ","LÜTFEN KURUM TÜRÜNE AİT DÖRT KATEGORİ İÇİN VERİLERİNİZİ KONTROL EDİNİZ!")</f>
        <v xml:space="preserve">                                    </v>
      </c>
      <c r="D25" s="93"/>
    </row>
    <row r="26" spans="1:4" x14ac:dyDescent="0.25">
      <c r="C26" s="93"/>
      <c r="D26" s="93"/>
    </row>
    <row r="27" spans="1:4" x14ac:dyDescent="0.25">
      <c r="C27" s="92" t="str">
        <f>IF(D3+D4+D5+D6+D7=1,"                    ","LÜTFEN DOĞUM AĞIRLIĞINA AİT BEŞ KATEGORİ İÇİN VERİLERİNİZİ KONTROL EDİNİZ!")</f>
        <v xml:space="preserve">                    </v>
      </c>
      <c r="D27" s="92"/>
    </row>
    <row r="28" spans="1:4" x14ac:dyDescent="0.25">
      <c r="C28" s="92"/>
      <c r="D28" s="92"/>
    </row>
    <row r="29" spans="1:4" x14ac:dyDescent="0.25">
      <c r="C29" s="92" t="str">
        <f>IF(D12+D13+D14=1,"                    ","LÜTFEN HASTANE YATAK SAYISINA AİT ÜÇ KATEGORİ İÇİN VERİLERİNİZİ KONTROL EDİNİZ!")</f>
        <v xml:space="preserve">                    </v>
      </c>
      <c r="D29" s="92"/>
    </row>
    <row r="30" spans="1:4" x14ac:dyDescent="0.25">
      <c r="C30" s="92"/>
      <c r="D30" s="92"/>
    </row>
    <row r="31" spans="1:4" x14ac:dyDescent="0.25">
      <c r="C31" s="92" t="str">
        <f>IF(D17&gt;D18,"HASTA SAYISI HASTA GÜNÜNDEN BÜYÜK OLAMAZ!","                         ")</f>
        <v xml:space="preserve">                         </v>
      </c>
      <c r="D31" s="92"/>
    </row>
    <row r="32" spans="1:4" x14ac:dyDescent="0.25">
      <c r="C32" s="92" t="str">
        <f>IF(D2&gt;D19,"VENTİLATÖR GÜNÜ HASTA GÜNÜNDEN BÜYÜK OLAMAZ!","                    ")</f>
        <v xml:space="preserve">                    </v>
      </c>
      <c r="D32" s="92"/>
    </row>
    <row r="33" spans="3:4" x14ac:dyDescent="0.25">
      <c r="C33" s="92" t="str">
        <f>IF(D21&gt;D20,"                ","DÖNEM BAŞLANGICI DÖNEM BİTİŞİNDEN ÖNCE OLMALIDIR!")</f>
        <v xml:space="preserve">                </v>
      </c>
      <c r="D33" s="92"/>
    </row>
    <row r="34" spans="3:4" ht="15" customHeight="1" x14ac:dyDescent="0.25">
      <c r="C34" s="92" t="str">
        <f>IF(D19&gt;D18,"DOĞUM AĞIRLIĞI KATEGORİSİNE AİT HASTA GÜNÜ YBÜ'YE AİT HASTA GÜNÜNDEN BÜYÜK OLAMAZ!","                    ")</f>
        <v xml:space="preserve">                    </v>
      </c>
      <c r="D34" s="92"/>
    </row>
    <row r="35" spans="3:4" x14ac:dyDescent="0.25">
      <c r="C35" s="92"/>
      <c r="D35" s="92"/>
    </row>
  </sheetData>
  <sheetProtection algorithmName="SHA-512" hashValue="Jufb3BZoyG4YXXO1SrTOveIHCd5LsTx4u2T16KGXtAnb+RNIplXDEoUyMaED0DB2oNykEGEYbmhPbh9d0XnJtA==" saltValue="TNzdvqEKMQkNPwjPRfLlUg==" spinCount="100000" sheet="1" objects="1" scenarios="1"/>
  <mergeCells count="33">
    <mergeCell ref="A12:A14"/>
    <mergeCell ref="C22:C23"/>
    <mergeCell ref="C34:D35"/>
    <mergeCell ref="L7:L8"/>
    <mergeCell ref="A8:A11"/>
    <mergeCell ref="G9:H9"/>
    <mergeCell ref="G10:L10"/>
    <mergeCell ref="G11:L12"/>
    <mergeCell ref="A3:A7"/>
    <mergeCell ref="E4:F12"/>
    <mergeCell ref="G4:L4"/>
    <mergeCell ref="G5:L5"/>
    <mergeCell ref="G6:H6"/>
    <mergeCell ref="J6:L6"/>
    <mergeCell ref="G7:H8"/>
    <mergeCell ref="C33:D33"/>
    <mergeCell ref="B3:B7"/>
    <mergeCell ref="C31:D31"/>
    <mergeCell ref="I7:I8"/>
    <mergeCell ref="A18:B18"/>
    <mergeCell ref="K7:K8"/>
    <mergeCell ref="C32:D32"/>
    <mergeCell ref="J7:J8"/>
    <mergeCell ref="D22:D23"/>
    <mergeCell ref="C25:D26"/>
    <mergeCell ref="C27:D28"/>
    <mergeCell ref="C29:D30"/>
    <mergeCell ref="A17:B17"/>
    <mergeCell ref="A19:B19"/>
    <mergeCell ref="B12:B14"/>
    <mergeCell ref="B8:B11"/>
    <mergeCell ref="B15:B16"/>
    <mergeCell ref="A15:A16"/>
  </mergeCells>
  <dataValidations count="22">
    <dataValidation type="date" allowBlank="1" showInputMessage="1" showErrorMessage="1" error="LÜTFEN 1.01.2016 İLE 31.12.2025 ARASINDA BİR TARİH GİRİNİZ." prompt="İlgili dönemin bitiş tarihini gg.aa.yyyy şeklinde yazınız." sqref="D21">
      <formula1>42370</formula1>
      <formula2>46022</formula2>
    </dataValidation>
    <dataValidation type="textLength" allowBlank="1" showInputMessage="1" showErrorMessage="1" prompt="İlgili kurumun adını yazınız." sqref="D22:D23">
      <formula1>10</formula1>
      <formula2>1000</formula2>
    </dataValidation>
    <dataValidation type="textLength" allowBlank="1" showInputMessage="1" showErrorMessage="1" prompt="İlgili birimin adını yazınız." sqref="D24">
      <formula1>5</formula1>
      <formula2>1000</formula2>
    </dataValidation>
    <dataValidation type="date" allowBlank="1" showInputMessage="1" showErrorMessage="1" errorTitle="VERİ GİRİŞ HATASI" error="LÜTFEN 1.01.2016 İLE 31.12.2025 ARASINDA BİR TARİH GİRİNİZ." prompt="İlgili dönemin başlangıç tarihini gg.aa.yyyy şeklinde yazınız." sqref="D20">
      <formula1>42370</formula1>
      <formula2>46022</formula2>
    </dataValidation>
    <dataValidation type="whole" allowBlank="1" showInputMessage="1" showErrorMessage="1" error="Lütfen 0 veya 1 (rakamla) yazınız." promptTitle="Kurum türü" prompt="Lütfen kurum türü 'Özel Hastane' ise 1, değilse '0' giriniz." sqref="D11">
      <formula1>0</formula1>
      <formula2>1</formula2>
    </dataValidation>
    <dataValidation type="whole" allowBlank="1" showInputMessage="1" showErrorMessage="1" error="Lütfen 0 veya 1 (rakamla) yazınız." promptTitle="Kurum türü" prompt="Lütfen kurum türü 'Üniversite Hastanesi' ise 1, değilse '0' giriniz." sqref="D10">
      <formula1>0</formula1>
      <formula2>1</formula2>
    </dataValidation>
    <dataValidation type="whole" allowBlank="1" showInputMessage="1" showErrorMessage="1" error="Lütfen 0 veya 1 (rakamla) yazınız." promptTitle="Kurum türü" prompt="Lütfen kurum türü 'Eğitim Araştırma Hastanesi' ise 1, değilse '0' giriniz." sqref="D9">
      <formula1>0</formula1>
      <formula2>1</formula2>
    </dataValidation>
    <dataValidation type="whole" operator="greaterThanOrEqual" allowBlank="1" showInputMessage="1" showErrorMessage="1" error="Lütfen 10 ve üzerinde bir tam sayıs (rakamla) yazınız." promptTitle="Hasta günü" prompt="Lütfen İLGİLİ DOĞUM AĞIRLIĞI KATEGORİSİNE AİT hasta günü sayısını (rakamla) giriniz." sqref="D19">
      <formula1>10</formula1>
    </dataValidation>
    <dataValidation type="whole" operator="greaterThan" allowBlank="1" showInputMessage="1" showErrorMessage="1" error="Lütfen sıfırdan büyük bir tam sayı (rakamla) yazınız." promptTitle="Hasta sayısı" prompt="Lütfen YBÜ'YE AİT hasta sayısını (rakamla) giriniz." sqref="D17">
      <formula1>1</formula1>
    </dataValidation>
    <dataValidation type="whole" allowBlank="1" showInputMessage="1" showErrorMessage="1" error="Lütfen 0 veya 1 (rakamla) yazınız." promptTitle="Kurum türü" prompt="Lütfen kurum türü 'Devlet Hastanesi' ise 1, değilse '0' giriniz." sqref="D8">
      <formula1>0</formula1>
      <formula2>1</formula2>
    </dataValidation>
    <dataValidation type="whole" allowBlank="1" showInputMessage="1" showErrorMessage="1" error="Lütfen 0 veya 1 (rakamla) yazınız." promptTitle="DOĞUM AĞIRLIĞI" prompt="Lütfen doğum ağırlığı &lt;750 gr ise '1', değilse '0' giriniz." sqref="D3">
      <formula1>0</formula1>
      <formula2>1</formula2>
    </dataValidation>
    <dataValidation type="whole" operator="greaterThanOrEqual" allowBlank="1" showInputMessage="1" showErrorMessage="1" error="Lütfen 50 ve üzerinde bir tam sayı (rakamla) yazınız." promptTitle="Gözlenen ventilatör günü" prompt="Lütfen gözlenen ventilatör günü sayısını (rakamla) giriniz." sqref="D2">
      <formula1>50</formula1>
    </dataValidation>
    <dataValidation type="whole" allowBlank="1" showInputMessage="1" showErrorMessage="1" error="Lütfen 0 veya 1 (rakamla) yazınız." promptTitle="DOĞUM AĞIRLIĞI" prompt="Lütfen doğum ağırlığı 751-1000 gr ise '1', değilse '0' giriniz." sqref="D4">
      <formula1>0</formula1>
      <formula2>1</formula2>
    </dataValidation>
    <dataValidation type="whole" allowBlank="1" showInputMessage="1" showErrorMessage="1" error="Lütfen 0 veya 1 (rakamla) yazınız." promptTitle="DOĞUM AĞIRLIĞI" prompt="Lütfen doğum ağırlığı 1001-1500 gr ise '1', değilse '0' giriniz." sqref="D5">
      <formula1>0</formula1>
      <formula2>1</formula2>
    </dataValidation>
    <dataValidation type="whole" allowBlank="1" showInputMessage="1" showErrorMessage="1" error="Lütfen 0 veya 1 (rakamla) yazınız." promptTitle="DOĞUM AĞIRLIĞI" prompt="Lütfen doğum ağırlığı 1501-2500 gr ise '1', değilse '0' giriniz." sqref="D6">
      <formula1>0</formula1>
      <formula2>1</formula2>
    </dataValidation>
    <dataValidation type="whole" allowBlank="1" showInputMessage="1" showErrorMessage="1" error="Lütfen 0 veya 1 (rakamla) yazınız." promptTitle="DOĞUM AĞIRLIĞI" prompt="Lütfen doğum ağırlığı &gt;2500 gr ise '1', değilse '0' giriniz." sqref="D7">
      <formula1>0</formula1>
      <formula2>1</formula2>
    </dataValidation>
    <dataValidation type="whole" allowBlank="1" showInputMessage="1" showErrorMessage="1" error="Lütfen 0 veya 1 (rakamla) yazınız." promptTitle="Hastane Yatak Sayısı" prompt="Lütfen hastane yatak sayısı &lt;=100 ise 1, değilse '0' giriniz." sqref="D12">
      <formula1>0</formula1>
      <formula2>1</formula2>
    </dataValidation>
    <dataValidation type="whole" allowBlank="1" showInputMessage="1" showErrorMessage="1" error="Lütfen 0 veya 1 (rakamla) yazınız." promptTitle="Hastane Yatak Sayısı" prompt="Lütfen hastane yatak sayısı 100-400 ise 1, değilse '0' giriniz." sqref="D13">
      <formula1>0</formula1>
      <formula2>1</formula2>
    </dataValidation>
    <dataValidation type="whole" allowBlank="1" showInputMessage="1" showErrorMessage="1" error="Lütfen 0 veya 1 (rakamla) yazınız." promptTitle="Hastane Yatak Sayısı" prompt="Lütfen hastane yatak sayısı &gt;400 ise 1, değilse '0' giriniz." sqref="D14">
      <formula1>0</formula1>
      <formula2>1</formula2>
    </dataValidation>
    <dataValidation type="whole" allowBlank="1" showInputMessage="1" showErrorMessage="1" error="Lütfen 0 veya 1 (rakamla) yazınız." promptTitle="YBÜ Yatak Sayısı" prompt="Lütfen YBÜ yatak sayısı &lt;=15 ise 1, değilse '0' giriniz." sqref="D15">
      <formula1>0</formula1>
      <formula2>1</formula2>
    </dataValidation>
    <dataValidation type="whole" allowBlank="1" showInputMessage="1" showErrorMessage="1" error="Lütfen 0 veya 1 (rakamla) yazınız." promptTitle="YBÜ Yatak Sayısı" prompt="Lütfen YBÜ yatak sayısı &gt;15 ise 1, değilse '0' giriniz." sqref="D16">
      <formula1>0</formula1>
      <formula2>1</formula2>
    </dataValidation>
    <dataValidation type="whole" operator="greaterThanOrEqual" allowBlank="1" showInputMessage="1" showErrorMessage="1" error="Lütfen 10  ve üzerinde bir tam sayıs (rakamla) yazınız." promptTitle="Hasta günü" prompt="Lütfen YBÜ'YE AİT hasta günü sayısını (rakamla) giriniz." sqref="D18">
      <formula1>10</formula1>
    </dataValidation>
  </dataValidations>
  <pageMargins left="0.7" right="0.7" top="0.75" bottom="0.75" header="0.3" footer="0.3"/>
  <pageSetup paperSize="9" orientation="portrait" horizontalDpi="3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
  <sheetViews>
    <sheetView zoomScale="70" zoomScaleNormal="70" workbookViewId="0">
      <selection activeCell="B21" sqref="B21:C22"/>
    </sheetView>
  </sheetViews>
  <sheetFormatPr defaultRowHeight="15" x14ac:dyDescent="0.25"/>
  <cols>
    <col min="1" max="1" width="17.28515625" customWidth="1"/>
    <col min="2" max="2" width="36" customWidth="1"/>
    <col min="3" max="3" width="34" customWidth="1"/>
    <col min="5" max="5" width="12.5703125" customWidth="1"/>
    <col min="6" max="6" width="12.7109375" customWidth="1"/>
    <col min="7" max="7" width="13.28515625" customWidth="1"/>
    <col min="8" max="8" width="25.140625" customWidth="1"/>
    <col min="9" max="9" width="18.28515625" customWidth="1"/>
    <col min="10" max="10" width="18.7109375" customWidth="1"/>
    <col min="11" max="11" width="29" customWidth="1"/>
  </cols>
  <sheetData>
    <row r="1" spans="1:42" ht="15.75" x14ac:dyDescent="0.25">
      <c r="A1" s="17"/>
      <c r="B1" s="16" t="s">
        <v>14</v>
      </c>
      <c r="C1" s="32" t="s">
        <v>15</v>
      </c>
    </row>
    <row r="2" spans="1:42" ht="15.75" x14ac:dyDescent="0.25">
      <c r="A2" s="17"/>
      <c r="B2" s="16" t="s">
        <v>31</v>
      </c>
      <c r="C2" s="11">
        <v>1614</v>
      </c>
      <c r="F2" s="10"/>
      <c r="G2" s="10">
        <f>-1.6041 + 0.7454*C11 + 0.585*C10 + 0.537*C9 + 0.7461*C3 + 1.209*C4 + 0.4293*C5 + 1.1365*C6 + -0.2287*C12 + 0.0254*C15/C14</f>
        <v>1.6188359788359863E-2</v>
      </c>
      <c r="H2" s="10">
        <f>EXP(G2)</f>
        <v>1.0163201012171792</v>
      </c>
      <c r="I2" s="10">
        <f>H2/(1+H2)</f>
        <v>0.50404700156669757</v>
      </c>
      <c r="J2" s="10">
        <f>I2*C15</f>
        <v>2529.3078538616883</v>
      </c>
      <c r="K2" s="10"/>
      <c r="L2" s="10">
        <f>C2</f>
        <v>1614</v>
      </c>
      <c r="M2" s="10">
        <f>F9</f>
        <v>2529.3078538616883</v>
      </c>
      <c r="N2" s="10">
        <f t="shared" ref="N2" si="0">L2/M2</f>
        <v>0.63811923785227742</v>
      </c>
      <c r="O2" s="10">
        <f t="shared" ref="O2" si="1">N2*Z2</f>
        <v>0.60736330660263771</v>
      </c>
      <c r="P2" s="10">
        <f t="shared" ref="P2" si="2">AK2*AI2</f>
        <v>0.67002910556769901</v>
      </c>
      <c r="Q2" s="10" t="str">
        <f t="shared" ref="Q2" si="3">IF(AO2&lt;3.8415,"p &gt; 0.05 (ANLAMLI DEĞİL)","p &lt; 0.05 (ANLAMLI)")</f>
        <v>p &lt; 0.05 (ANLAMLI)</v>
      </c>
      <c r="R2" s="10"/>
      <c r="S2" s="10"/>
      <c r="T2" s="10">
        <f t="shared" ref="T2" si="4">SQRT(L2)</f>
        <v>40.174618853201331</v>
      </c>
      <c r="U2" s="10">
        <f t="shared" ref="U2" si="5">3*T2</f>
        <v>120.52385655960398</v>
      </c>
      <c r="V2" s="10">
        <f t="shared" ref="V2" si="6">1.96/U2</f>
        <v>1.6262340551894801E-2</v>
      </c>
      <c r="W2" s="10">
        <f t="shared" ref="W2" si="7">9*L2</f>
        <v>14526</v>
      </c>
      <c r="X2" s="10">
        <f t="shared" ref="X2" si="8">1/W2</f>
        <v>6.884207627702051E-5</v>
      </c>
      <c r="Y2" s="10">
        <f t="shared" ref="Y2" si="9">1-V2-X2</f>
        <v>0.98366881737182821</v>
      </c>
      <c r="Z2" s="10">
        <f t="shared" ref="Z2" si="10">Y2*Y2*Y2</f>
        <v>0.95180221904427276</v>
      </c>
      <c r="AA2" s="10"/>
      <c r="AB2" s="10">
        <f t="shared" ref="AB2" si="11">L2+1</f>
        <v>1615</v>
      </c>
      <c r="AC2" s="10">
        <f t="shared" ref="AC2" si="12">SQRT(AB2)</f>
        <v>40.18706259482024</v>
      </c>
      <c r="AD2" s="10">
        <f t="shared" ref="AD2" si="13">3*AC2</f>
        <v>120.56118778446071</v>
      </c>
      <c r="AE2" s="10">
        <f t="shared" ref="AE2" si="14">1.96/AD2</f>
        <v>1.6257304991919023E-2</v>
      </c>
      <c r="AF2" s="10">
        <f t="shared" ref="AF2" si="15">9*AB2</f>
        <v>14535</v>
      </c>
      <c r="AG2" s="10">
        <f t="shared" ref="AG2" si="16">1/AF2</f>
        <v>6.8799449604403163E-5</v>
      </c>
      <c r="AH2" s="10">
        <f t="shared" ref="AH2" si="17">1+AE2-AG2</f>
        <v>1.0161885055423145</v>
      </c>
      <c r="AI2" s="10">
        <f t="shared" ref="AI2" si="18">AH2*AH2*AH2</f>
        <v>1.0493559622466275</v>
      </c>
      <c r="AJ2" s="10"/>
      <c r="AK2" s="10">
        <f t="shared" ref="AK2" si="19">AB2/M2</f>
        <v>0.63851460293149198</v>
      </c>
      <c r="AL2" s="10"/>
      <c r="AM2" s="10">
        <f t="shared" ref="AM2" si="20">L2-M2</f>
        <v>-915.30785386168827</v>
      </c>
      <c r="AN2" s="10">
        <f t="shared" ref="AN2" si="21">AM2*AM2</f>
        <v>837788.46734088974</v>
      </c>
      <c r="AO2" s="10">
        <f t="shared" ref="AO2" si="22">AN2/M2</f>
        <v>331.23230375526407</v>
      </c>
      <c r="AP2" s="10"/>
    </row>
    <row r="3" spans="1:42" ht="15.75" x14ac:dyDescent="0.25">
      <c r="A3" s="107" t="s">
        <v>23</v>
      </c>
      <c r="B3" s="16" t="s">
        <v>0</v>
      </c>
      <c r="C3" s="11">
        <v>1</v>
      </c>
      <c r="D3" s="10">
        <f>COUNTA(C2:C20)</f>
        <v>18</v>
      </c>
      <c r="E3" s="17"/>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row>
    <row r="4" spans="1:42" ht="18.75" customHeight="1" x14ac:dyDescent="0.3">
      <c r="A4" s="107"/>
      <c r="B4" s="16" t="s">
        <v>1</v>
      </c>
      <c r="C4" s="11">
        <v>0</v>
      </c>
      <c r="D4" s="109" t="str">
        <f>IF(D3=18,"                         ","LÜTFEN TÜM VERİ GİRİŞ ALANLARINI DOLDURUNUZ!")</f>
        <v xml:space="preserve">                         </v>
      </c>
      <c r="E4" s="110"/>
      <c r="F4" s="81" t="str">
        <f>C18</f>
        <v>XXXXXXX EĞİTİM VE ARAŞTIRMA HASTANESİ</v>
      </c>
      <c r="G4" s="82"/>
      <c r="H4" s="82"/>
      <c r="I4" s="82"/>
      <c r="J4" s="82"/>
      <c r="K4" s="83"/>
    </row>
    <row r="5" spans="1:42" ht="18.75" customHeight="1" x14ac:dyDescent="0.3">
      <c r="A5" s="107"/>
      <c r="B5" s="16" t="s">
        <v>2</v>
      </c>
      <c r="C5" s="12">
        <v>0</v>
      </c>
      <c r="D5" s="109"/>
      <c r="E5" s="110"/>
      <c r="F5" s="81" t="str">
        <f>C20</f>
        <v>ANESTEZİ YBÜ 2</v>
      </c>
      <c r="G5" s="82"/>
      <c r="H5" s="82"/>
      <c r="I5" s="82"/>
      <c r="J5" s="82"/>
      <c r="K5" s="83"/>
    </row>
    <row r="6" spans="1:42" ht="18.75" customHeight="1" x14ac:dyDescent="0.3">
      <c r="A6" s="107"/>
      <c r="B6" s="16" t="s">
        <v>3</v>
      </c>
      <c r="C6" s="11">
        <v>0</v>
      </c>
      <c r="D6" s="109"/>
      <c r="E6" s="110"/>
      <c r="F6" s="84" t="s">
        <v>30</v>
      </c>
      <c r="G6" s="85"/>
      <c r="H6" s="85"/>
      <c r="I6" s="7">
        <f>C16</f>
        <v>43101</v>
      </c>
      <c r="J6" s="73">
        <f>C17</f>
        <v>45292</v>
      </c>
      <c r="K6" s="74"/>
    </row>
    <row r="7" spans="1:42" ht="15.75" customHeight="1" x14ac:dyDescent="0.25">
      <c r="A7" s="107"/>
      <c r="B7" s="16" t="s">
        <v>4</v>
      </c>
      <c r="C7" s="11">
        <v>0</v>
      </c>
      <c r="D7" s="109"/>
      <c r="E7" s="110"/>
      <c r="F7" s="86" t="s">
        <v>33</v>
      </c>
      <c r="G7" s="86"/>
      <c r="H7" s="87" t="s">
        <v>29</v>
      </c>
      <c r="I7" s="88" t="s">
        <v>25</v>
      </c>
      <c r="J7" s="88" t="s">
        <v>26</v>
      </c>
      <c r="K7" s="87" t="s">
        <v>27</v>
      </c>
    </row>
    <row r="8" spans="1:42" ht="15.75" customHeight="1" x14ac:dyDescent="0.25">
      <c r="A8" s="108" t="s">
        <v>22</v>
      </c>
      <c r="B8" s="16" t="s">
        <v>8</v>
      </c>
      <c r="C8" s="11">
        <v>0</v>
      </c>
      <c r="D8" s="109"/>
      <c r="E8" s="110"/>
      <c r="F8" s="86"/>
      <c r="G8" s="86"/>
      <c r="H8" s="87"/>
      <c r="I8" s="88"/>
      <c r="J8" s="88"/>
      <c r="K8" s="87"/>
    </row>
    <row r="9" spans="1:42" ht="24.75" customHeight="1" x14ac:dyDescent="0.25">
      <c r="A9" s="108"/>
      <c r="B9" s="16" t="s">
        <v>6</v>
      </c>
      <c r="C9" s="11">
        <v>1</v>
      </c>
      <c r="D9" s="109"/>
      <c r="E9" s="110"/>
      <c r="F9" s="111">
        <f>J2</f>
        <v>2529.3078538616883</v>
      </c>
      <c r="G9" s="112"/>
      <c r="H9" s="13">
        <f>N2</f>
        <v>0.63811923785227742</v>
      </c>
      <c r="I9" s="13">
        <f>O2</f>
        <v>0.60736330660263771</v>
      </c>
      <c r="J9" s="13">
        <f>P2</f>
        <v>0.67002910556769901</v>
      </c>
      <c r="K9" s="14" t="str">
        <f>Q2</f>
        <v>p &lt; 0.05 (ANLAMLI)</v>
      </c>
    </row>
    <row r="10" spans="1:42" ht="15.75" customHeight="1" x14ac:dyDescent="0.25">
      <c r="A10" s="108"/>
      <c r="B10" s="16" t="s">
        <v>7</v>
      </c>
      <c r="C10" s="11">
        <v>0</v>
      </c>
      <c r="D10" s="109"/>
      <c r="E10" s="110"/>
      <c r="F10" s="95" t="str">
        <f>IF(F9&lt;1,"SANTRAL KATETER GÜNÜ SAYISI &lt;1.0 OLDUĞU İÇİN SAKO HESAPLAMALARI DİKKATE ALINMAMALIDIR!","                      ")</f>
        <v xml:space="preserve">                      </v>
      </c>
      <c r="G10" s="95"/>
      <c r="H10" s="95"/>
      <c r="I10" s="95"/>
      <c r="J10" s="95"/>
      <c r="K10" s="95"/>
    </row>
    <row r="11" spans="1:42" ht="19.5" customHeight="1" x14ac:dyDescent="0.25">
      <c r="A11" s="108"/>
      <c r="B11" s="16" t="s">
        <v>5</v>
      </c>
      <c r="C11" s="11">
        <v>0</v>
      </c>
      <c r="D11" s="17"/>
      <c r="E11" s="17"/>
      <c r="F11" s="92" t="str">
        <f>IF(C2=0,"GÖZLENEN SANTRAL KATETER GÜNÜ SAYISI GİRİLMEDİĞİ İÇİN %95 GA ALT SINIRI HESAPLANAMAMAKTADIR.E1325","                 ")</f>
        <v xml:space="preserve">                 </v>
      </c>
      <c r="G11" s="92"/>
      <c r="H11" s="92"/>
      <c r="I11" s="92"/>
      <c r="J11" s="92"/>
      <c r="K11" s="92"/>
    </row>
    <row r="12" spans="1:42" ht="25.5" customHeight="1" x14ac:dyDescent="0.25">
      <c r="A12" s="113" t="s">
        <v>24</v>
      </c>
      <c r="B12" s="16" t="s">
        <v>9</v>
      </c>
      <c r="C12" s="11">
        <v>0</v>
      </c>
      <c r="D12" s="17"/>
      <c r="E12" s="17"/>
      <c r="F12" s="92"/>
      <c r="G12" s="92"/>
      <c r="H12" s="92"/>
      <c r="I12" s="92"/>
      <c r="J12" s="92"/>
      <c r="K12" s="92"/>
    </row>
    <row r="13" spans="1:42" ht="33.75" customHeight="1" x14ac:dyDescent="0.25">
      <c r="A13" s="113"/>
      <c r="B13" s="16" t="s">
        <v>10</v>
      </c>
      <c r="C13" s="11">
        <v>1</v>
      </c>
    </row>
    <row r="14" spans="1:42" ht="15.75" x14ac:dyDescent="0.25">
      <c r="A14" s="17"/>
      <c r="B14" s="16" t="s">
        <v>12</v>
      </c>
      <c r="C14" s="11">
        <v>378</v>
      </c>
    </row>
    <row r="15" spans="1:42" ht="15.75" x14ac:dyDescent="0.25">
      <c r="A15" s="17"/>
      <c r="B15" s="16" t="s">
        <v>13</v>
      </c>
      <c r="C15" s="11">
        <v>5018</v>
      </c>
    </row>
    <row r="16" spans="1:42" ht="15.75" x14ac:dyDescent="0.25">
      <c r="A16" s="17"/>
      <c r="B16" s="3" t="s">
        <v>16</v>
      </c>
      <c r="C16" s="5">
        <v>43101</v>
      </c>
    </row>
    <row r="17" spans="1:3" ht="15.75" x14ac:dyDescent="0.25">
      <c r="A17" s="17"/>
      <c r="B17" s="3" t="s">
        <v>17</v>
      </c>
      <c r="C17" s="5">
        <v>45292</v>
      </c>
    </row>
    <row r="18" spans="1:3" x14ac:dyDescent="0.25">
      <c r="A18" s="17"/>
      <c r="B18" s="79" t="s">
        <v>18</v>
      </c>
      <c r="C18" s="77" t="s">
        <v>19</v>
      </c>
    </row>
    <row r="19" spans="1:3" x14ac:dyDescent="0.25">
      <c r="A19" s="17"/>
      <c r="B19" s="80"/>
      <c r="C19" s="78"/>
    </row>
    <row r="20" spans="1:3" x14ac:dyDescent="0.25">
      <c r="A20" s="17"/>
      <c r="B20" s="4" t="s">
        <v>20</v>
      </c>
      <c r="C20" s="6" t="s">
        <v>21</v>
      </c>
    </row>
    <row r="21" spans="1:3" ht="15" customHeight="1" x14ac:dyDescent="0.25">
      <c r="B21" s="92" t="str">
        <f>IF(C8+C9+C10+C11=1,"                                    ","LÜTFEN KURUM TÜRÜNE AİT DÖRT KATEGORİ İÇİN VERİLERİNİZİ KONTROL EDİNİZ!")</f>
        <v xml:space="preserve">                                    </v>
      </c>
      <c r="C21" s="93"/>
    </row>
    <row r="22" spans="1:3" x14ac:dyDescent="0.25">
      <c r="B22" s="93"/>
      <c r="C22" s="93"/>
    </row>
    <row r="23" spans="1:3" x14ac:dyDescent="0.25">
      <c r="B23" s="92" t="str">
        <f>IF(C3+C4+C5+C6+C7=1,"                    ","LÜTFEN YBÜ BRANŞINA AİT BEŞ KATEGORİ İÇİN VERİLERİNİZİ KONTROL EDİNİZ!")</f>
        <v xml:space="preserve">                    </v>
      </c>
      <c r="C23" s="92"/>
    </row>
    <row r="24" spans="1:3" x14ac:dyDescent="0.25">
      <c r="B24" s="92"/>
      <c r="C24" s="92"/>
    </row>
    <row r="25" spans="1:3" x14ac:dyDescent="0.25">
      <c r="B25" s="92" t="str">
        <f>IF(C12+C13=1,"                    ","LÜTFEN KURUM YATAK SAYISINA AİT İKİ KATEGORİ İÇİN VERİLERİNİZİ KONTROL EDİNİZ!")</f>
        <v xml:space="preserve">                    </v>
      </c>
      <c r="C25" s="92"/>
    </row>
    <row r="26" spans="1:3" x14ac:dyDescent="0.25">
      <c r="B26" s="92"/>
      <c r="C26" s="92"/>
    </row>
    <row r="27" spans="1:3" x14ac:dyDescent="0.25">
      <c r="B27" s="92" t="str">
        <f>IF(C14&gt;C15,"HASTA SAYISI HASTA GÜNÜNDEN BÜYÜK OLAMAZ!","                         ")</f>
        <v xml:space="preserve">                         </v>
      </c>
      <c r="C27" s="92"/>
    </row>
    <row r="28" spans="1:3" x14ac:dyDescent="0.25">
      <c r="B28" s="92" t="str">
        <f>IF(C2&gt;C15,"SANTRAL KATETER GÜNÜ HASTA GÜNÜNDEN BÜYÜK OLAMAZ!","                    ")</f>
        <v xml:space="preserve">                    </v>
      </c>
      <c r="C28" s="92"/>
    </row>
    <row r="29" spans="1:3" x14ac:dyDescent="0.25">
      <c r="B29" s="92" t="str">
        <f>IF(C17&gt;C16,"                ","DÖNEM BAŞLANGICI DÖNEM BİTİŞİNDEN ÖNCE OLMALIDIR!")</f>
        <v xml:space="preserve">                </v>
      </c>
      <c r="C29" s="92"/>
    </row>
  </sheetData>
  <sheetProtection algorithmName="SHA-512" hashValue="FAiMlJEOWU++Kb6vahaqRm6WpytX2U/Vqug7SDlb6ZYdBQ8t+TC9Y+61u89oDE62xaiTtXHRTA+7qaxqvBtJBw==" saltValue="G5PN33FNLVGuGm17pz6XbA==" spinCount="100000" sheet="1" objects="1" scenarios="1"/>
  <mergeCells count="24">
    <mergeCell ref="F5:K5"/>
    <mergeCell ref="F7:G8"/>
    <mergeCell ref="H7:H8"/>
    <mergeCell ref="A3:A7"/>
    <mergeCell ref="A8:A11"/>
    <mergeCell ref="F6:H6"/>
    <mergeCell ref="J6:K6"/>
    <mergeCell ref="D4:E10"/>
    <mergeCell ref="I7:I8"/>
    <mergeCell ref="J7:J8"/>
    <mergeCell ref="K7:K8"/>
    <mergeCell ref="F9:G9"/>
    <mergeCell ref="F10:K10"/>
    <mergeCell ref="F11:K12"/>
    <mergeCell ref="F4:K4"/>
    <mergeCell ref="A12:A13"/>
    <mergeCell ref="B18:B19"/>
    <mergeCell ref="C18:C19"/>
    <mergeCell ref="B28:C28"/>
    <mergeCell ref="B29:C29"/>
    <mergeCell ref="B21:C22"/>
    <mergeCell ref="B23:C24"/>
    <mergeCell ref="B25:C26"/>
    <mergeCell ref="B27:C27"/>
  </mergeCells>
  <dataValidations count="17">
    <dataValidation type="date" allowBlank="1" showInputMessage="1" showErrorMessage="1" error="LÜTFEN 1.01.2016 İLE 31.12.2025 ARASINDA BİR TARİH GİRİNİZ." prompt="İlgili dönemin bitiş tarihini gg.aa.yyyy şeklinde yazınız." sqref="C17">
      <formula1>42370</formula1>
      <formula2>46022</formula2>
    </dataValidation>
    <dataValidation type="textLength" allowBlank="1" showInputMessage="1" showErrorMessage="1" prompt="İlgili kurumun adını yazınız." sqref="C18:C19">
      <formula1>10</formula1>
      <formula2>1000</formula2>
    </dataValidation>
    <dataValidation type="textLength" allowBlank="1" showInputMessage="1" showErrorMessage="1" prompt="İlgili birimin adını yazınız." sqref="C20">
      <formula1>5</formula1>
      <formula2>1000</formula2>
    </dataValidation>
    <dataValidation type="date" allowBlank="1" showInputMessage="1" showErrorMessage="1" errorTitle="VERİ GİRİŞ HATASI" error="LÜTFEN 1.01.2016 İLE 31.12.2025 ARASINDA BİR TARİH GİRİNİZ." prompt="İlgili dönemin başlangıç tarihini gg.aa.yyyy şeklinde yazınız." sqref="C16">
      <formula1>42370</formula1>
      <formula2>46022</formula2>
    </dataValidation>
    <dataValidation type="whole" allowBlank="1" showInputMessage="1" showErrorMessage="1" error="Lütfen 0 veya 1 (rakamla) yazınız." promptTitle="Kurum yatak sayısı" prompt="Lütfen kurum yatak sayısı 200 ve altında ise '1', değilse '0' giriniz." sqref="C12">
      <formula1>0</formula1>
      <formula2>1</formula2>
    </dataValidation>
    <dataValidation type="whole" allowBlank="1" showInputMessage="1" showErrorMessage="1" error="Lütfen 0 veya 1 (rakamla) yazınız." promptTitle="Kurum türü" prompt="Lütfen kurum türü 'Özel Hastane' ise 1, değilse '0' giriniz." sqref="C11">
      <formula1>0</formula1>
      <formula2>1</formula2>
    </dataValidation>
    <dataValidation type="whole" allowBlank="1" showInputMessage="1" showErrorMessage="1" error="Lütfen 0 veya 1 (rakamla) yazınız." promptTitle="Kurum türü" prompt="Lütfen kurum türü 'Üniversite Hastanesi' ise 1, değilse '0' giriniz." sqref="C10">
      <formula1>0</formula1>
      <formula2>1</formula2>
    </dataValidation>
    <dataValidation type="whole" allowBlank="1" showInputMessage="1" showErrorMessage="1" error="Lütfen 0 veya 1 (rakamla) yazınız." promptTitle="Kurum türü" prompt="Lütfen kurum türü 'Eğitim Araştırma Hastanesi' ise 1, değilse '0' giriniz." sqref="C9">
      <formula1>0</formula1>
      <formula2>1</formula2>
    </dataValidation>
    <dataValidation type="whole" allowBlank="1" showInputMessage="1" showErrorMessage="1" error="Lütfen 0 veya 1 (rakamla) yazınız." promptTitle="Kurum yatak sayısı" prompt="Lütfen kurum yatak sayısı 200'ün üzerinde ise '1', değilse '0' giriniz." sqref="C13">
      <formula1>0</formula1>
      <formula2>1</formula2>
    </dataValidation>
    <dataValidation type="whole" operator="greaterThanOrEqual" allowBlank="1" showInputMessage="1" showErrorMessage="1" error="Lütfen 50 ve üzerinde bir tam sayıs (rakamla) yazınız." promptTitle="Hasta günü" prompt="Lütfen hasta günü sayısını (rakamla) giriniz." sqref="C15">
      <formula1>50</formula1>
    </dataValidation>
    <dataValidation type="whole" operator="greaterThan" allowBlank="1" showInputMessage="1" showErrorMessage="1" error="Lütfen sıfırdan büyük bir tam sayı (rakamla) yazınız." promptTitle="Hasta sayısı" prompt="Lütfen hasta sayısını (rakamla) giriniz." sqref="C14">
      <formula1>0</formula1>
    </dataValidation>
    <dataValidation type="whole" allowBlank="1" showInputMessage="1" showErrorMessage="1" error="Lütfen 0 veya 1 (rakamla) yazınız." promptTitle="Kurum türü" prompt="Lütfen kurum türü 'Devlet Hastanesi' ise 1, değilse '0' giriniz." sqref="C8">
      <formula1>0</formula1>
      <formula2>1</formula2>
    </dataValidation>
    <dataValidation type="whole" allowBlank="1" showInputMessage="1" showErrorMessage="1" error="Lütfen 0 veya 1 (rakamla) yazınız." promptTitle="YBÜ branşı" prompt="Lütfen YBÜ branşı Erişkin Cerrahi YBÜ'ler ise '1', değilse '0' giriniz." sqref="C6:C7">
      <formula1>0</formula1>
      <formula2>1</formula2>
    </dataValidation>
    <dataValidation type="whole" allowBlank="1" showInputMessage="1" showErrorMessage="1" error="Lütfen 0 veya 1 (rakamla) yazınız." promptTitle="YBÜ branşı" prompt="Lütfen YBÜ branşı Çocuk Hastalıkları YBÜ ise '1', değilse '0' giriniz." sqref="C5">
      <formula1>0</formula1>
      <formula2>1</formula2>
    </dataValidation>
    <dataValidation type="whole" allowBlank="1" showInputMessage="1" showErrorMessage="1" error="Lütfen 0 veya 1 (rakamla) yazınız." promptTitle="YBÜ branşı" prompt="Lütfen YBÜ branşı Anestezi ve Reanimasyon YBÜ ise '1', değilse '0' giriniz." sqref="C4">
      <formula1>0</formula1>
      <formula2>1</formula2>
    </dataValidation>
    <dataValidation type="whole" allowBlank="1" showInputMessage="1" showErrorMessage="1" error="Lütfen 0 veya 1 (rakamla) yazınız." promptTitle="YBÜ branşı" prompt="Lütfen YBÜ branşı Karma YBÜ ise '1', değilse '0' giriniz." sqref="C3">
      <formula1>0</formula1>
      <formula2>1</formula2>
    </dataValidation>
    <dataValidation type="whole" operator="greaterThanOrEqual" allowBlank="1" showInputMessage="1" showErrorMessage="1" error="Lütfen 50 ve üzerinde bir tam sayı (rakamla) yazınız." promptTitle="Gözlenen santral kateter günü" prompt="Lütfen gözlenen santral kateter günü sayısını (rakamla) giriniz." sqref="C2">
      <formula1>50</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4"/>
  <sheetViews>
    <sheetView topLeftCell="A13" zoomScale="80" zoomScaleNormal="80" workbookViewId="0">
      <selection activeCell="C6" sqref="A6:XFD6"/>
    </sheetView>
  </sheetViews>
  <sheetFormatPr defaultRowHeight="15" x14ac:dyDescent="0.25"/>
  <cols>
    <col min="1" max="1" width="23.140625" customWidth="1"/>
    <col min="2" max="2" width="24.42578125" customWidth="1"/>
    <col min="3" max="3" width="41.7109375" customWidth="1"/>
    <col min="4" max="4" width="35.28515625" customWidth="1"/>
    <col min="6" max="6" width="12.85546875" customWidth="1"/>
    <col min="7" max="7" width="15.28515625" customWidth="1"/>
    <col min="8" max="8" width="16.85546875" customWidth="1"/>
    <col min="9" max="9" width="18.7109375" customWidth="1"/>
    <col min="10" max="10" width="12.7109375" customWidth="1"/>
    <col min="11" max="11" width="14.28515625" bestFit="1" customWidth="1"/>
    <col min="12" max="12" width="29.140625" customWidth="1"/>
  </cols>
  <sheetData>
    <row r="1" spans="1:42" ht="15.75" x14ac:dyDescent="0.25">
      <c r="C1" s="2" t="s">
        <v>14</v>
      </c>
      <c r="D1" s="31" t="s">
        <v>15</v>
      </c>
      <c r="G1" s="10">
        <f>-2.922397 + (1.350748*D3) + (0.747935*D4) + (0.747935*D5) + (0.687987*D11) + (0.433375*D9) + (0.671959*D10) + (0.48907*D14) + (0.199146*D13) + (0.034858*D16) + (0.010917*(D18/D17))</f>
        <v>-1.1102882910958902</v>
      </c>
      <c r="H1" s="10">
        <f>EXP(G1)</f>
        <v>0.32946396585493626</v>
      </c>
      <c r="I1" s="10">
        <f>H1/(1+H1)</f>
        <v>0.24781714609547043</v>
      </c>
      <c r="J1" s="10">
        <f>I1*D19</f>
        <v>131.59090457669478</v>
      </c>
      <c r="K1" s="10"/>
      <c r="L1" s="10">
        <f>D2</f>
        <v>249</v>
      </c>
      <c r="M1" s="10">
        <f>J1</f>
        <v>131.59090457669478</v>
      </c>
      <c r="N1" s="10">
        <f>L1/M1</f>
        <v>1.8922280441873243</v>
      </c>
      <c r="O1" s="10">
        <f>N1*Z1</f>
        <v>1.6644647513337159</v>
      </c>
      <c r="P1" s="10">
        <f>AK1*AI1</f>
        <v>2.1424519995625229</v>
      </c>
      <c r="Q1" s="10" t="str">
        <f>IF(AO1&lt;3.8415,"p &gt; 0.05 (ANLAMLI DEĞİL)","p &lt; 0.05 (ANLAMLI)")</f>
        <v>p &lt; 0.05 (ANLAMLI)</v>
      </c>
      <c r="R1" s="10"/>
      <c r="S1" s="10"/>
      <c r="T1" s="10">
        <f>SQRT(L1)</f>
        <v>15.779733838059499</v>
      </c>
      <c r="U1" s="10">
        <f>3*T1</f>
        <v>47.339201514178498</v>
      </c>
      <c r="V1" s="10">
        <f>1.96/U1</f>
        <v>4.1403317700932557E-2</v>
      </c>
      <c r="W1" s="10">
        <f>9*L1</f>
        <v>2241</v>
      </c>
      <c r="X1" s="10">
        <f>1/W1</f>
        <v>4.4622936189201248E-4</v>
      </c>
      <c r="Y1" s="10">
        <f>1-V1-X1</f>
        <v>0.95815045293717549</v>
      </c>
      <c r="Z1" s="10">
        <f>Y1*Y1*Y1</f>
        <v>0.87963221792781943</v>
      </c>
      <c r="AA1" s="10"/>
      <c r="AB1" s="10">
        <f>L1+1</f>
        <v>250</v>
      </c>
      <c r="AC1" s="10">
        <f>SQRT(AB1)</f>
        <v>15.811388300841896</v>
      </c>
      <c r="AD1" s="10">
        <f>3*AC1</f>
        <v>47.434164902525687</v>
      </c>
      <c r="AE1" s="10">
        <f>1.96/AD1</f>
        <v>4.1320428092866825E-2</v>
      </c>
      <c r="AF1" s="10">
        <f>9*AB1</f>
        <v>2250</v>
      </c>
      <c r="AG1" s="10">
        <f>1/AF1</f>
        <v>4.4444444444444447E-4</v>
      </c>
      <c r="AH1" s="10">
        <f>1+AE1-AG1</f>
        <v>1.0408759836484223</v>
      </c>
      <c r="AI1" s="10">
        <f>AH1*AH1*AH1</f>
        <v>1.1277087865383235</v>
      </c>
      <c r="AJ1" s="10"/>
      <c r="AK1" s="10">
        <f>AB1/M1</f>
        <v>1.8998273536017314</v>
      </c>
      <c r="AL1" s="10"/>
      <c r="AM1" s="10">
        <f>L1-M1</f>
        <v>117.40909542330522</v>
      </c>
      <c r="AN1" s="10">
        <f>AM1*AM1</f>
        <v>13784.89568811879</v>
      </c>
      <c r="AO1" s="10">
        <f>AN1/M1</f>
        <v>104.75568757933854</v>
      </c>
      <c r="AP1" s="10"/>
    </row>
    <row r="2" spans="1:42" ht="15.75" x14ac:dyDescent="0.25">
      <c r="C2" s="2" t="s">
        <v>31</v>
      </c>
      <c r="D2" s="11">
        <v>249</v>
      </c>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spans="1:42" ht="15.75" x14ac:dyDescent="0.25">
      <c r="A3" s="90" t="s">
        <v>23</v>
      </c>
      <c r="B3" s="103" t="s">
        <v>73</v>
      </c>
      <c r="C3" s="2" t="s">
        <v>74</v>
      </c>
      <c r="D3" s="11">
        <v>0</v>
      </c>
      <c r="E3" s="10">
        <f>COUNTA(D2:D24)</f>
        <v>22</v>
      </c>
    </row>
    <row r="4" spans="1:42" ht="18.75" x14ac:dyDescent="0.3">
      <c r="A4" s="90"/>
      <c r="B4" s="104"/>
      <c r="C4" s="2" t="s">
        <v>75</v>
      </c>
      <c r="D4" s="11">
        <v>0</v>
      </c>
      <c r="E4" s="75" t="str">
        <f>IF(E3=21,"LÜTFEN TÜM VERİ GİRİŞ ALANLARINI DOLDURUNUZ.","                       ")</f>
        <v xml:space="preserve">                       </v>
      </c>
      <c r="F4" s="76"/>
      <c r="G4" s="81" t="str">
        <f>D22</f>
        <v>XXXXXXX EĞİTİM VE ARAŞTIRMA HASTANESİ</v>
      </c>
      <c r="H4" s="82"/>
      <c r="I4" s="82"/>
      <c r="J4" s="82"/>
      <c r="K4" s="82"/>
      <c r="L4" s="83"/>
    </row>
    <row r="5" spans="1:42" ht="18.75" x14ac:dyDescent="0.3">
      <c r="A5" s="90"/>
      <c r="B5" s="104"/>
      <c r="C5" s="2" t="s">
        <v>77</v>
      </c>
      <c r="D5" s="11">
        <v>1</v>
      </c>
      <c r="E5" s="75"/>
      <c r="F5" s="76"/>
      <c r="G5" s="81" t="str">
        <f>D24</f>
        <v>KARMA YBÜ</v>
      </c>
      <c r="H5" s="82"/>
      <c r="I5" s="82"/>
      <c r="J5" s="82"/>
      <c r="K5" s="82"/>
      <c r="L5" s="83"/>
    </row>
    <row r="6" spans="1:42" ht="15.75" customHeight="1" x14ac:dyDescent="0.3">
      <c r="A6" s="90"/>
      <c r="B6" s="104"/>
      <c r="C6" s="2" t="s">
        <v>76</v>
      </c>
      <c r="D6" s="11">
        <v>0</v>
      </c>
      <c r="E6" s="75"/>
      <c r="F6" s="76"/>
      <c r="G6" s="84" t="s">
        <v>30</v>
      </c>
      <c r="H6" s="85"/>
      <c r="I6" s="7">
        <f>D20</f>
        <v>44228</v>
      </c>
      <c r="J6" s="73">
        <f>D21</f>
        <v>44593</v>
      </c>
      <c r="K6" s="73"/>
      <c r="L6" s="74"/>
    </row>
    <row r="7" spans="1:42" ht="15.75" customHeight="1" x14ac:dyDescent="0.25">
      <c r="A7" s="90"/>
      <c r="B7" s="105"/>
      <c r="C7" s="2" t="s">
        <v>78</v>
      </c>
      <c r="D7" s="11">
        <v>0</v>
      </c>
      <c r="E7" s="75"/>
      <c r="F7" s="76"/>
      <c r="G7" s="86" t="s">
        <v>93</v>
      </c>
      <c r="H7" s="86"/>
      <c r="I7" s="87" t="s">
        <v>29</v>
      </c>
      <c r="J7" s="88" t="s">
        <v>25</v>
      </c>
      <c r="K7" s="88" t="s">
        <v>26</v>
      </c>
      <c r="L7" s="87" t="s">
        <v>27</v>
      </c>
    </row>
    <row r="8" spans="1:42" ht="15.75" x14ac:dyDescent="0.25">
      <c r="A8" s="89" t="s">
        <v>22</v>
      </c>
      <c r="B8" s="99" t="s">
        <v>83</v>
      </c>
      <c r="C8" s="2" t="s">
        <v>8</v>
      </c>
      <c r="D8" s="11">
        <v>0</v>
      </c>
      <c r="E8" s="75"/>
      <c r="F8" s="76"/>
      <c r="G8" s="86"/>
      <c r="H8" s="86"/>
      <c r="I8" s="87"/>
      <c r="J8" s="88"/>
      <c r="K8" s="88"/>
      <c r="L8" s="87"/>
    </row>
    <row r="9" spans="1:42" ht="15.75" x14ac:dyDescent="0.25">
      <c r="A9" s="89"/>
      <c r="B9" s="100"/>
      <c r="C9" s="2" t="s">
        <v>6</v>
      </c>
      <c r="D9" s="11">
        <v>0</v>
      </c>
      <c r="E9" s="75"/>
      <c r="F9" s="76"/>
      <c r="G9" s="94">
        <f>J1</f>
        <v>131.59090457669478</v>
      </c>
      <c r="H9" s="94"/>
      <c r="I9" s="8">
        <f>D2/J1</f>
        <v>1.8922280441873243</v>
      </c>
      <c r="J9" s="8">
        <f>O1</f>
        <v>1.6644647513337159</v>
      </c>
      <c r="K9" s="8">
        <f>P1</f>
        <v>2.1424519995625229</v>
      </c>
      <c r="L9" s="9" t="str">
        <f>Q1</f>
        <v>p &lt; 0.05 (ANLAMLI)</v>
      </c>
    </row>
    <row r="10" spans="1:42" ht="15.75" x14ac:dyDescent="0.25">
      <c r="A10" s="89"/>
      <c r="B10" s="100"/>
      <c r="C10" s="2" t="s">
        <v>7</v>
      </c>
      <c r="D10" s="11">
        <v>0</v>
      </c>
      <c r="E10" s="75"/>
      <c r="F10" s="76"/>
      <c r="G10" s="95" t="str">
        <f>IF(G7&lt;1,"VENTİLATÖR GÜNÜ SAYISI &lt;1.0 OLDUĞU İÇİN SAKO HESAPLAMALARI DİKKATE ALINMAMALIDIR!","                      ")</f>
        <v xml:space="preserve">                      </v>
      </c>
      <c r="H10" s="95"/>
      <c r="I10" s="95"/>
      <c r="J10" s="95"/>
      <c r="K10" s="95"/>
      <c r="L10" s="95"/>
    </row>
    <row r="11" spans="1:42" ht="15.75" x14ac:dyDescent="0.25">
      <c r="A11" s="89"/>
      <c r="B11" s="101"/>
      <c r="C11" s="2" t="s">
        <v>5</v>
      </c>
      <c r="D11" s="11">
        <v>1</v>
      </c>
      <c r="E11" s="75"/>
      <c r="F11" s="76"/>
      <c r="G11" s="92" t="str">
        <f>IF(D2=0,"GÖZLENEN VENTİLATÖR GÜNÜ SAYISI GİRİLMEDİĞİ İÇİN %95 GA ALT SINIRI HESAPLANAMAMAKTADIR","                 ")</f>
        <v xml:space="preserve">                 </v>
      </c>
      <c r="H11" s="92"/>
      <c r="I11" s="92"/>
      <c r="J11" s="92"/>
      <c r="K11" s="92"/>
      <c r="L11" s="92"/>
    </row>
    <row r="12" spans="1:42" ht="27.75" customHeight="1" x14ac:dyDescent="0.25">
      <c r="A12" s="106" t="s">
        <v>82</v>
      </c>
      <c r="B12" s="98" t="s">
        <v>87</v>
      </c>
      <c r="C12" s="2" t="s">
        <v>79</v>
      </c>
      <c r="D12" s="11">
        <v>0</v>
      </c>
      <c r="E12" s="75"/>
      <c r="F12" s="76"/>
      <c r="G12" s="92"/>
      <c r="H12" s="92"/>
      <c r="I12" s="92"/>
      <c r="J12" s="92"/>
      <c r="K12" s="92"/>
      <c r="L12" s="92"/>
    </row>
    <row r="13" spans="1:42" ht="32.25" customHeight="1" x14ac:dyDescent="0.25">
      <c r="A13" s="106"/>
      <c r="B13" s="98"/>
      <c r="C13" s="2" t="s">
        <v>80</v>
      </c>
      <c r="D13" s="11">
        <v>1</v>
      </c>
    </row>
    <row r="14" spans="1:42" ht="32.25" customHeight="1" x14ac:dyDescent="0.25">
      <c r="A14" s="106"/>
      <c r="B14" s="98"/>
      <c r="C14" s="2" t="s">
        <v>81</v>
      </c>
      <c r="D14" s="11">
        <v>0</v>
      </c>
    </row>
    <row r="15" spans="1:42" ht="32.25" customHeight="1" x14ac:dyDescent="0.25">
      <c r="A15" s="91" t="s">
        <v>24</v>
      </c>
      <c r="B15" s="102" t="s">
        <v>86</v>
      </c>
      <c r="C15" s="2" t="s">
        <v>94</v>
      </c>
      <c r="D15" s="11">
        <v>0</v>
      </c>
    </row>
    <row r="16" spans="1:42" ht="32.25" customHeight="1" x14ac:dyDescent="0.25">
      <c r="A16" s="91"/>
      <c r="B16" s="102"/>
      <c r="C16" s="2" t="s">
        <v>95</v>
      </c>
      <c r="D16" s="11">
        <v>1</v>
      </c>
    </row>
    <row r="17" spans="1:4" ht="28.5" customHeight="1" x14ac:dyDescent="0.25">
      <c r="A17" s="96" t="s">
        <v>91</v>
      </c>
      <c r="B17" s="96"/>
      <c r="C17" s="2" t="s">
        <v>90</v>
      </c>
      <c r="D17" s="11">
        <v>584</v>
      </c>
    </row>
    <row r="18" spans="1:4" ht="23.25" customHeight="1" x14ac:dyDescent="0.25">
      <c r="A18" s="96" t="s">
        <v>91</v>
      </c>
      <c r="B18" s="96"/>
      <c r="C18" s="2" t="s">
        <v>89</v>
      </c>
      <c r="D18" s="11">
        <v>7606</v>
      </c>
    </row>
    <row r="19" spans="1:4" ht="28.5" customHeight="1" x14ac:dyDescent="0.25">
      <c r="A19" s="97" t="s">
        <v>92</v>
      </c>
      <c r="B19" s="97"/>
      <c r="C19" s="2" t="s">
        <v>88</v>
      </c>
      <c r="D19" s="11">
        <v>531</v>
      </c>
    </row>
    <row r="20" spans="1:4" ht="15.75" x14ac:dyDescent="0.25">
      <c r="C20" s="3" t="s">
        <v>16</v>
      </c>
      <c r="D20" s="5">
        <v>44228</v>
      </c>
    </row>
    <row r="21" spans="1:4" ht="15.75" x14ac:dyDescent="0.25">
      <c r="C21" s="3" t="s">
        <v>17</v>
      </c>
      <c r="D21" s="5">
        <v>44593</v>
      </c>
    </row>
    <row r="22" spans="1:4" x14ac:dyDescent="0.25">
      <c r="C22" s="79" t="s">
        <v>18</v>
      </c>
      <c r="D22" s="77" t="s">
        <v>19</v>
      </c>
    </row>
    <row r="23" spans="1:4" x14ac:dyDescent="0.25">
      <c r="C23" s="80"/>
      <c r="D23" s="78"/>
    </row>
    <row r="24" spans="1:4" x14ac:dyDescent="0.25">
      <c r="C24" s="4" t="s">
        <v>20</v>
      </c>
      <c r="D24" s="6" t="s">
        <v>32</v>
      </c>
    </row>
    <row r="25" spans="1:4" x14ac:dyDescent="0.25">
      <c r="C25" s="92" t="str">
        <f>IF(D8+D9+D10+D11=1,"                                    ","LÜTFEN KURUM TÜRÜNE AİT DÖRT KATEGORİ İÇİN VERİLERİNİZİ KONTROL EDİNİZ!")</f>
        <v xml:space="preserve">                                    </v>
      </c>
      <c r="D25" s="93"/>
    </row>
    <row r="26" spans="1:4" x14ac:dyDescent="0.25">
      <c r="C26" s="93"/>
      <c r="D26" s="93"/>
    </row>
    <row r="27" spans="1:4" x14ac:dyDescent="0.25">
      <c r="C27" s="92" t="str">
        <f>IF(D3+D4+D5+D6+D7=1,"                    ","LÜTFEN DOĞUM AĞIRLIĞINA AİT BEŞ KATEGORİ İÇİN VERİLERİNİZİ KONTROL EDİNİZ!")</f>
        <v xml:space="preserve">                    </v>
      </c>
      <c r="D27" s="92"/>
    </row>
    <row r="28" spans="1:4" x14ac:dyDescent="0.25">
      <c r="C28" s="92"/>
      <c r="D28" s="92"/>
    </row>
    <row r="29" spans="1:4" x14ac:dyDescent="0.25">
      <c r="C29" s="92" t="str">
        <f>IF(D12+D13+D14=1,"                    ","LÜTFEN HASTANE YATAK SAYISINA AİT ÜÇ KATEGORİ İÇİN VERİLERİNİZİ KONTROL EDİNİZ!")</f>
        <v xml:space="preserve">                    </v>
      </c>
      <c r="D29" s="92"/>
    </row>
    <row r="30" spans="1:4" x14ac:dyDescent="0.25">
      <c r="C30" s="92"/>
      <c r="D30" s="92"/>
    </row>
    <row r="31" spans="1:4" x14ac:dyDescent="0.25">
      <c r="C31" s="92" t="str">
        <f>IF(D17&gt;D18,"HASTA SAYISI HASTA GÜNÜNDEN BÜYÜK OLAMAZ!","                         ")</f>
        <v xml:space="preserve">                         </v>
      </c>
      <c r="D31" s="92"/>
    </row>
    <row r="32" spans="1:4" x14ac:dyDescent="0.25">
      <c r="C32" s="92" t="str">
        <f>IF(D2&gt;D19,"SANTRAL KATETER GÜNÜ HASTA GÜNÜNDEN BÜYÜK OLAMAZ!","                    ")</f>
        <v xml:space="preserve">                    </v>
      </c>
      <c r="D32" s="92"/>
    </row>
    <row r="33" spans="3:4" x14ac:dyDescent="0.25">
      <c r="C33" s="92" t="str">
        <f>IF(D21&gt;D20,"                ","DÖNEM BAŞLANGICI DÖNEM BİTİŞİNDEN ÖNCE OLMALIDIR!")</f>
        <v xml:space="preserve">                </v>
      </c>
      <c r="D33" s="92"/>
    </row>
    <row r="34" spans="3:4" x14ac:dyDescent="0.25">
      <c r="C34" s="92" t="str">
        <f>IF(D19&gt;D18,"DOĞUM AĞIRLIĞI KATEGORİSİNE AİT HASTA GÜNÜ YBÜ'YE AİT HASTA GÜNÜNDEN BÜYÜK OLAMAZ!","                    ")</f>
        <v xml:space="preserve">                    </v>
      </c>
      <c r="D34" s="92"/>
    </row>
  </sheetData>
  <sheetProtection algorithmName="SHA-512" hashValue="CBZ1mZuckasjPSbEpQJaYAIH6ilNfuFe9RxBG7gn02cMOhgTDzchMuGK8rJ4ZdnNzOS31O9NHZ9GAAhECQNmMA==" saltValue="HY8VUN/8uq3rUivMy2nqvA==" spinCount="100000" sheet="1" objects="1" scenarios="1"/>
  <mergeCells count="33">
    <mergeCell ref="A17:B17"/>
    <mergeCell ref="A18:B18"/>
    <mergeCell ref="A19:B19"/>
    <mergeCell ref="C33:D33"/>
    <mergeCell ref="C34:D34"/>
    <mergeCell ref="D22:D23"/>
    <mergeCell ref="C25:D26"/>
    <mergeCell ref="C27:D28"/>
    <mergeCell ref="C29:D30"/>
    <mergeCell ref="C31:D31"/>
    <mergeCell ref="C32:D32"/>
    <mergeCell ref="C22:C23"/>
    <mergeCell ref="B12:B14"/>
    <mergeCell ref="G7:H8"/>
    <mergeCell ref="I7:I8"/>
    <mergeCell ref="A15:A16"/>
    <mergeCell ref="B15:B16"/>
    <mergeCell ref="J7:J8"/>
    <mergeCell ref="K7:K8"/>
    <mergeCell ref="L7:L8"/>
    <mergeCell ref="A3:A7"/>
    <mergeCell ref="B3:B7"/>
    <mergeCell ref="E4:F12"/>
    <mergeCell ref="G4:L4"/>
    <mergeCell ref="G5:L5"/>
    <mergeCell ref="G6:H6"/>
    <mergeCell ref="J6:L6"/>
    <mergeCell ref="A8:A11"/>
    <mergeCell ref="B8:B11"/>
    <mergeCell ref="G9:H9"/>
    <mergeCell ref="G10:L10"/>
    <mergeCell ref="G11:L12"/>
    <mergeCell ref="A12:A14"/>
  </mergeCells>
  <dataValidations count="22">
    <dataValidation type="whole" operator="greaterThanOrEqual" allowBlank="1" showInputMessage="1" showErrorMessage="1" error="Lütfen 10  ve üzerinde bir tam sayıs (rakamla) yazınız." promptTitle="Hasta günü" prompt="Lütfen YBÜ'YE AİT hasta günü sayısını (rakamla) giriniz." sqref="D18">
      <formula1>10</formula1>
    </dataValidation>
    <dataValidation type="whole" allowBlank="1" showInputMessage="1" showErrorMessage="1" error="Lütfen 0 veya 1 (rakamla) yazınız." promptTitle="YBÜ Yatak Sayısı" prompt="Lütfen YBÜ yatak sayısı &gt;15 ise 1, değilse '0' giriniz." sqref="D16">
      <formula1>0</formula1>
      <formula2>1</formula2>
    </dataValidation>
    <dataValidation type="whole" allowBlank="1" showInputMessage="1" showErrorMessage="1" error="Lütfen 0 veya 1 (rakamla) yazınız." promptTitle="YBÜ Yatak Sayısı" prompt="Lütfen YBÜ yatak sayısı &lt;=15 ise 1, değilse '0' giriniz." sqref="D15">
      <formula1>0</formula1>
      <formula2>1</formula2>
    </dataValidation>
    <dataValidation type="whole" allowBlank="1" showInputMessage="1" showErrorMessage="1" error="Lütfen 0 veya 1 (rakamla) yazınız." promptTitle="Hastane Yatak Sayısı" prompt="Lütfen hastane yatak sayısı &gt;400 ise 1, değilse '0' giriniz." sqref="D14">
      <formula1>0</formula1>
      <formula2>1</formula2>
    </dataValidation>
    <dataValidation type="whole" allowBlank="1" showInputMessage="1" showErrorMessage="1" error="Lütfen 0 veya 1 (rakamla) yazınız." promptTitle="Hastane Yatak Sayısı" prompt="Lütfen hastane yatak sayısı 100-400 ise 1, değilse '0' giriniz." sqref="D13">
      <formula1>0</formula1>
      <formula2>1</formula2>
    </dataValidation>
    <dataValidation type="whole" allowBlank="1" showInputMessage="1" showErrorMessage="1" error="Lütfen 0 veya 1 (rakamla) yazınız." promptTitle="Hastane Yatak Sayısı" prompt="Lütfen hastane yatak sayısı &lt;=100 ise 1, değilse '0' giriniz." sqref="D12">
      <formula1>0</formula1>
      <formula2>1</formula2>
    </dataValidation>
    <dataValidation type="whole" allowBlank="1" showInputMessage="1" showErrorMessage="1" error="Lütfen 0 veya 1 (rakamla) yazınız." promptTitle="DOĞUM AĞIRLIĞI" prompt="Lütfen doğum ağırlığı &gt;2500 gr ise '1', değilse '0' giriniz." sqref="D7">
      <formula1>0</formula1>
      <formula2>1</formula2>
    </dataValidation>
    <dataValidation type="whole" allowBlank="1" showInputMessage="1" showErrorMessage="1" error="Lütfen 0 veya 1 (rakamla) yazınız." promptTitle="DOĞUM AĞIRLIĞI" prompt="Lütfen doğum ağırlığı 1501-2500 gr ise '1', değilse '0' giriniz." sqref="D6">
      <formula1>0</formula1>
      <formula2>1</formula2>
    </dataValidation>
    <dataValidation type="whole" allowBlank="1" showInputMessage="1" showErrorMessage="1" error="Lütfen 0 veya 1 (rakamla) yazınız." promptTitle="DOĞUM AĞIRLIĞI" prompt="Lütfen doğum ağırlığı 1001-1500 gr ise '1', değilse '0' giriniz." sqref="D5">
      <formula1>0</formula1>
      <formula2>1</formula2>
    </dataValidation>
    <dataValidation type="whole" allowBlank="1" showInputMessage="1" showErrorMessage="1" error="Lütfen 0 veya 1 (rakamla) yazınız." promptTitle="DOĞUM AĞIRLIĞI" prompt="Lütfen doğum ağırlığı 751-1000 gr ise '1', değilse '0' giriniz." sqref="D4">
      <formula1>0</formula1>
      <formula2>1</formula2>
    </dataValidation>
    <dataValidation type="whole" operator="greaterThanOrEqual" allowBlank="1" showInputMessage="1" showErrorMessage="1" error="Lütfen 50 ve üzerinde bir tam sayı (rakamla) yazınız." promptTitle="Gözlenen ventilatör günü" prompt="Lütfen gözlenen ventilatör günü sayısını (rakamla) giriniz." sqref="D2">
      <formula1>50</formula1>
    </dataValidation>
    <dataValidation type="whole" allowBlank="1" showInputMessage="1" showErrorMessage="1" error="Lütfen 0 veya 1 (rakamla) yazınız." promptTitle="DOĞUM AĞIRLIĞI" prompt="Lütfen doğum ağırlığı &lt;750 gr ise '1', değilse '0' giriniz." sqref="D3">
      <formula1>0</formula1>
      <formula2>1</formula2>
    </dataValidation>
    <dataValidation type="whole" allowBlank="1" showInputMessage="1" showErrorMessage="1" error="Lütfen 0 veya 1 (rakamla) yazınız." promptTitle="Kurum türü" prompt="Lütfen kurum türü 'Devlet Hastanesi' ise 1, değilse '0' giriniz." sqref="D8">
      <formula1>0</formula1>
      <formula2>1</formula2>
    </dataValidation>
    <dataValidation type="whole" operator="greaterThan" allowBlank="1" showInputMessage="1" showErrorMessage="1" error="Lütfen sıfırdan büyük bir tam sayı (rakamla) yazınız." promptTitle="Hasta sayısı" prompt="Lütfen YBÜ'YE AİT hasta sayısını (rakamla) giriniz." sqref="D17">
      <formula1>1</formula1>
    </dataValidation>
    <dataValidation type="whole" operator="greaterThanOrEqual" allowBlank="1" showInputMessage="1" showErrorMessage="1" error="Lütfen 10 ve üzerinde bir tam sayıs (rakamla) yazınız." promptTitle="Hasta günü" prompt="Lütfen İLGİLİ DOĞUM AĞIRLIĞI KATEGORİSİNE AİT hasta günü sayısını (rakamla) giriniz." sqref="D19">
      <formula1>10</formula1>
    </dataValidation>
    <dataValidation type="whole" allowBlank="1" showInputMessage="1" showErrorMessage="1" error="Lütfen 0 veya 1 (rakamla) yazınız." promptTitle="Kurum türü" prompt="Lütfen kurum türü 'Eğitim Araştırma Hastanesi' ise 1, değilse '0' giriniz." sqref="D9">
      <formula1>0</formula1>
      <formula2>1</formula2>
    </dataValidation>
    <dataValidation type="whole" allowBlank="1" showInputMessage="1" showErrorMessage="1" error="Lütfen 0 veya 1 (rakamla) yazınız." promptTitle="Kurum türü" prompt="Lütfen kurum türü 'Üniversite Hastanesi' ise 1, değilse '0' giriniz." sqref="D10">
      <formula1>0</formula1>
      <formula2>1</formula2>
    </dataValidation>
    <dataValidation type="whole" allowBlank="1" showInputMessage="1" showErrorMessage="1" error="Lütfen 0 veya 1 (rakamla) yazınız." promptTitle="Kurum türü" prompt="Lütfen kurum türü 'Özel Hastane' ise 1, değilse '0' giriniz." sqref="D11">
      <formula1>0</formula1>
      <formula2>1</formula2>
    </dataValidation>
    <dataValidation type="date" allowBlank="1" showInputMessage="1" showErrorMessage="1" errorTitle="VERİ GİRİŞ HATASI" error="LÜTFEN 1.01.2016 İLE 31.12.2025 ARASINDA BİR TARİH GİRİNİZ." prompt="İlgili dönemin başlangıç tarihini gg.aa.yyyy şeklinde yazınız." sqref="D20">
      <formula1>42370</formula1>
      <formula2>46022</formula2>
    </dataValidation>
    <dataValidation type="textLength" allowBlank="1" showInputMessage="1" showErrorMessage="1" prompt="İlgili birimin adını yazınız." sqref="D24">
      <formula1>5</formula1>
      <formula2>1000</formula2>
    </dataValidation>
    <dataValidation type="textLength" allowBlank="1" showInputMessage="1" showErrorMessage="1" prompt="İlgili kurumun adını yazınız." sqref="D22:D23">
      <formula1>10</formula1>
      <formula2>1000</formula2>
    </dataValidation>
    <dataValidation type="date" allowBlank="1" showInputMessage="1" showErrorMessage="1" error="LÜTFEN 1.01.2016 İLE 31.12.2025 ARASINDA BİR TARİH GİRİNİZ." prompt="İlgili dönemin bitiş tarihini gg.aa.yyyy şeklinde yazınız." sqref="D21">
      <formula1>42370</formula1>
      <formula2>46022</formula2>
    </dataValidation>
  </dataValidations>
  <pageMargins left="0.7" right="0.7" top="0.75" bottom="0.75" header="0.3" footer="0.3"/>
  <pageSetup paperSize="9" orientation="portrait" horizontalDpi="3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
  <sheetViews>
    <sheetView zoomScale="80" zoomScaleNormal="80" workbookViewId="0">
      <selection activeCell="C1" sqref="C1"/>
    </sheetView>
  </sheetViews>
  <sheetFormatPr defaultRowHeight="15" x14ac:dyDescent="0.25"/>
  <cols>
    <col min="1" max="1" width="18.7109375" customWidth="1"/>
    <col min="2" max="2" width="37.140625" customWidth="1"/>
    <col min="3" max="3" width="24.28515625" customWidth="1"/>
    <col min="5" max="5" width="11.7109375" customWidth="1"/>
    <col min="7" max="7" width="12.140625" customWidth="1"/>
    <col min="8" max="8" width="21.28515625" customWidth="1"/>
    <col min="9" max="9" width="16" customWidth="1"/>
    <col min="10" max="10" width="19.28515625" customWidth="1"/>
    <col min="11" max="11" width="25" customWidth="1"/>
  </cols>
  <sheetData>
    <row r="1" spans="1:41" ht="15.75" x14ac:dyDescent="0.25">
      <c r="A1" s="17"/>
      <c r="B1" s="16" t="s">
        <v>14</v>
      </c>
      <c r="C1" s="32" t="s">
        <v>15</v>
      </c>
      <c r="F1" s="15">
        <f>0.9834 + 1.1107*C3 + 1.806*C4 + -2.3803*C5 + 0.737*C6 + -0.3938*C8 + 0.0449*C11/C10</f>
        <v>2.6901534391534394</v>
      </c>
      <c r="G1" s="15">
        <f>EXP(F1)</f>
        <v>14.733936509751567</v>
      </c>
      <c r="H1" s="15">
        <f>G1/(1+G1)</f>
        <v>0.93644311457719298</v>
      </c>
      <c r="I1" s="15">
        <f>H1*C11</f>
        <v>4699.0715489483546</v>
      </c>
      <c r="J1" s="15"/>
      <c r="K1" s="15"/>
      <c r="L1" s="15">
        <f>C2</f>
        <v>5018</v>
      </c>
      <c r="M1" s="15">
        <f>I1</f>
        <v>4699.0715489483546</v>
      </c>
      <c r="N1" s="15">
        <f t="shared" ref="N1" si="0">L1/M1</f>
        <v>1.0678705245769287</v>
      </c>
      <c r="O1" s="15">
        <f t="shared" ref="O1" si="1">N1*Z1</f>
        <v>1.0385258380774169</v>
      </c>
      <c r="P1" s="15">
        <f t="shared" ref="P1" si="2">AK1*AI1</f>
        <v>1.0978340975887042</v>
      </c>
      <c r="Q1" s="15" t="str">
        <f t="shared" ref="Q1" si="3">IF(AO1&lt;3.8415,"p &gt; 0.05 (ANLAMLI DEĞİL)","p &lt; 0.05 (ANLAMLI)")</f>
        <v>p &lt; 0.05 (ANLAMLI)</v>
      </c>
      <c r="R1" s="15"/>
      <c r="S1" s="15"/>
      <c r="T1" s="15">
        <f t="shared" ref="T1" si="4">SQRT(L1)</f>
        <v>70.837842993699354</v>
      </c>
      <c r="U1" s="15">
        <f t="shared" ref="U1" si="5">3*T1</f>
        <v>212.51352898109806</v>
      </c>
      <c r="V1" s="15">
        <f t="shared" ref="V1" si="6">1.96/U1</f>
        <v>9.2229422258303922E-3</v>
      </c>
      <c r="W1" s="15">
        <f t="shared" ref="W1" si="7">9*L1</f>
        <v>45162</v>
      </c>
      <c r="X1" s="15">
        <f t="shared" ref="X1" si="8">1/W1</f>
        <v>2.2142509189141313E-5</v>
      </c>
      <c r="Y1" s="15">
        <f t="shared" ref="Y1" si="9">1-V1-X1</f>
        <v>0.99075491526498038</v>
      </c>
      <c r="Z1" s="15">
        <f t="shared" ref="Z1" si="10">Y1*Y1*Y1</f>
        <v>0.9725203703781059</v>
      </c>
      <c r="AA1" s="15"/>
      <c r="AB1" s="15">
        <f t="shared" ref="AB1" si="11">L1+1</f>
        <v>5019</v>
      </c>
      <c r="AC1" s="15">
        <f t="shared" ref="AC1" si="12">SQRT(AB1)</f>
        <v>70.844901016234047</v>
      </c>
      <c r="AD1" s="15">
        <f t="shared" ref="AD1" si="13">3*AC1</f>
        <v>212.53470304870214</v>
      </c>
      <c r="AE1" s="15">
        <f t="shared" ref="AE1" si="14">1.96/AD1</f>
        <v>9.2220233772875564E-3</v>
      </c>
      <c r="AF1" s="15">
        <f t="shared" ref="AF1" si="15">9*AB1</f>
        <v>45171</v>
      </c>
      <c r="AG1" s="15">
        <f t="shared" ref="AG1" si="16">1/AF1</f>
        <v>2.2138097451904982E-5</v>
      </c>
      <c r="AH1" s="15">
        <f t="shared" ref="AH1" si="17">1+AE1-AG1</f>
        <v>1.0091998852798356</v>
      </c>
      <c r="AI1" s="15">
        <f t="shared" ref="AI1" si="18">AH1*AH1*AH1</f>
        <v>1.027854348165864</v>
      </c>
      <c r="AJ1" s="15"/>
      <c r="AK1" s="15">
        <f t="shared" ref="AK1" si="19">AB1/M1</f>
        <v>1.0680833325730579</v>
      </c>
      <c r="AL1" s="15"/>
      <c r="AM1" s="15">
        <f t="shared" ref="AM1" si="20">L1-M1</f>
        <v>318.92845105164542</v>
      </c>
      <c r="AN1" s="15">
        <f t="shared" ref="AN1" si="21">AM1*AM1</f>
        <v>101715.35689020179</v>
      </c>
      <c r="AO1" s="15">
        <f t="shared" ref="AO1" si="22">AN1/M1</f>
        <v>21.645841275382484</v>
      </c>
    </row>
    <row r="2" spans="1:41" ht="15.75" x14ac:dyDescent="0.25">
      <c r="A2" s="17"/>
      <c r="B2" s="16" t="s">
        <v>34</v>
      </c>
      <c r="C2" s="11">
        <v>5018</v>
      </c>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row>
    <row r="3" spans="1:41" ht="15.75" x14ac:dyDescent="0.25">
      <c r="A3" s="107" t="s">
        <v>23</v>
      </c>
      <c r="B3" s="16" t="s">
        <v>0</v>
      </c>
      <c r="C3" s="11">
        <v>1</v>
      </c>
      <c r="D3" s="10">
        <f>COUNTA(C2:C16)</f>
        <v>14</v>
      </c>
    </row>
    <row r="4" spans="1:41" ht="18.75" x14ac:dyDescent="0.3">
      <c r="A4" s="107"/>
      <c r="B4" s="16" t="s">
        <v>1</v>
      </c>
      <c r="C4" s="11">
        <v>0</v>
      </c>
      <c r="D4" s="109" t="str">
        <f>IF(D3=14,"                         ","LÜTFEN TÜM VERİ GİRİŞ ALANLARINI DOLDURUNUZ!")</f>
        <v xml:space="preserve">                         </v>
      </c>
      <c r="E4" s="110"/>
      <c r="F4" s="81" t="str">
        <f>C14</f>
        <v>XXXXXXX EĞİTİM VE ARAŞTIRMA HASTANESİ</v>
      </c>
      <c r="G4" s="82"/>
      <c r="H4" s="82"/>
      <c r="I4" s="82"/>
      <c r="J4" s="82"/>
      <c r="K4" s="83"/>
    </row>
    <row r="5" spans="1:41" ht="18.75" x14ac:dyDescent="0.3">
      <c r="A5" s="107"/>
      <c r="B5" s="16" t="s">
        <v>2</v>
      </c>
      <c r="C5" s="12">
        <v>0</v>
      </c>
      <c r="D5" s="109"/>
      <c r="E5" s="110"/>
      <c r="F5" s="81" t="str">
        <f>C16</f>
        <v>ANESTEZİ YBÜ 2</v>
      </c>
      <c r="G5" s="82"/>
      <c r="H5" s="82"/>
      <c r="I5" s="82"/>
      <c r="J5" s="82"/>
      <c r="K5" s="83"/>
    </row>
    <row r="6" spans="1:41" ht="18.75" customHeight="1" x14ac:dyDescent="0.3">
      <c r="A6" s="107"/>
      <c r="B6" s="16" t="s">
        <v>3</v>
      </c>
      <c r="C6" s="11">
        <v>0</v>
      </c>
      <c r="D6" s="109"/>
      <c r="E6" s="110"/>
      <c r="F6" s="84" t="s">
        <v>30</v>
      </c>
      <c r="G6" s="85"/>
      <c r="H6" s="85"/>
      <c r="I6" s="7">
        <f>C12</f>
        <v>43101</v>
      </c>
      <c r="J6" s="73">
        <f>C13</f>
        <v>45689</v>
      </c>
      <c r="K6" s="74"/>
    </row>
    <row r="7" spans="1:41" ht="15.75" customHeight="1" x14ac:dyDescent="0.25">
      <c r="A7" s="107"/>
      <c r="B7" s="16" t="s">
        <v>4</v>
      </c>
      <c r="C7" s="11">
        <v>0</v>
      </c>
      <c r="D7" s="109"/>
      <c r="E7" s="110"/>
      <c r="F7" s="86" t="s">
        <v>35</v>
      </c>
      <c r="G7" s="86"/>
      <c r="H7" s="87" t="s">
        <v>29</v>
      </c>
      <c r="I7" s="88" t="s">
        <v>25</v>
      </c>
      <c r="J7" s="88" t="s">
        <v>26</v>
      </c>
      <c r="K7" s="87" t="s">
        <v>27</v>
      </c>
    </row>
    <row r="8" spans="1:41" ht="27.75" customHeight="1" x14ac:dyDescent="0.25">
      <c r="A8" s="113" t="s">
        <v>24</v>
      </c>
      <c r="B8" s="16" t="s">
        <v>9</v>
      </c>
      <c r="C8" s="11">
        <v>0</v>
      </c>
      <c r="D8" s="109"/>
      <c r="E8" s="110"/>
      <c r="F8" s="86"/>
      <c r="G8" s="86"/>
      <c r="H8" s="87"/>
      <c r="I8" s="88"/>
      <c r="J8" s="88"/>
      <c r="K8" s="87"/>
    </row>
    <row r="9" spans="1:41" ht="37.5" customHeight="1" x14ac:dyDescent="0.25">
      <c r="A9" s="113"/>
      <c r="B9" s="16" t="s">
        <v>10</v>
      </c>
      <c r="C9" s="11">
        <v>1</v>
      </c>
      <c r="D9" s="109"/>
      <c r="E9" s="110"/>
      <c r="F9" s="111">
        <f>I1</f>
        <v>4699.0715489483546</v>
      </c>
      <c r="G9" s="112"/>
      <c r="H9" s="13">
        <f>N1</f>
        <v>1.0678705245769287</v>
      </c>
      <c r="I9" s="13">
        <f>O1</f>
        <v>1.0385258380774169</v>
      </c>
      <c r="J9" s="13">
        <f>P1</f>
        <v>1.0978340975887042</v>
      </c>
      <c r="K9" s="14" t="str">
        <f>Q1</f>
        <v>p &lt; 0.05 (ANLAMLI)</v>
      </c>
    </row>
    <row r="10" spans="1:41" ht="15.75" x14ac:dyDescent="0.25">
      <c r="A10" s="17"/>
      <c r="B10" s="16" t="s">
        <v>12</v>
      </c>
      <c r="C10" s="11">
        <v>378</v>
      </c>
      <c r="D10" s="109"/>
      <c r="E10" s="110"/>
      <c r="F10" s="95" t="str">
        <f>IF(F9&lt;1,"ÜRİNER KATETER GÜNÜ SAYISI &lt;1.0 OLDUĞU İÇİN SAKO HESAPLAMALARI DİKKATE ALINMAMALIDIR!","                      ")</f>
        <v xml:space="preserve">                      </v>
      </c>
      <c r="G10" s="95"/>
      <c r="H10" s="95"/>
      <c r="I10" s="95"/>
      <c r="J10" s="95"/>
      <c r="K10" s="95"/>
    </row>
    <row r="11" spans="1:41" ht="15.75" x14ac:dyDescent="0.25">
      <c r="A11" s="17"/>
      <c r="B11" s="16" t="s">
        <v>13</v>
      </c>
      <c r="C11" s="11">
        <v>5018</v>
      </c>
      <c r="F11" s="92" t="str">
        <f>IF(C2=0,"GÖZLENEN ÜRİNER KATETER GÜNÜ SAYISI GİRİLMEDİĞİ İÇİN %95 GA ALT SINIRI HESAPLANAMAMAKTADIR.E1325","                 ")</f>
        <v xml:space="preserve">                 </v>
      </c>
      <c r="G11" s="92"/>
      <c r="H11" s="92"/>
      <c r="I11" s="92"/>
      <c r="J11" s="92"/>
      <c r="K11" s="92"/>
    </row>
    <row r="12" spans="1:41" ht="15.75" x14ac:dyDescent="0.25">
      <c r="A12" s="17"/>
      <c r="B12" s="3" t="s">
        <v>16</v>
      </c>
      <c r="C12" s="5">
        <v>43101</v>
      </c>
      <c r="F12" s="92"/>
      <c r="G12" s="92"/>
      <c r="H12" s="92"/>
      <c r="I12" s="92"/>
      <c r="J12" s="92"/>
      <c r="K12" s="92"/>
    </row>
    <row r="13" spans="1:41" ht="15.75" x14ac:dyDescent="0.25">
      <c r="A13" s="17"/>
      <c r="B13" s="3" t="s">
        <v>17</v>
      </c>
      <c r="C13" s="5">
        <v>45689</v>
      </c>
    </row>
    <row r="14" spans="1:41" x14ac:dyDescent="0.25">
      <c r="A14" s="17"/>
      <c r="B14" s="79" t="s">
        <v>18</v>
      </c>
      <c r="C14" s="77" t="s">
        <v>19</v>
      </c>
    </row>
    <row r="15" spans="1:41" x14ac:dyDescent="0.25">
      <c r="A15" s="17"/>
      <c r="B15" s="80"/>
      <c r="C15" s="78"/>
    </row>
    <row r="16" spans="1:41" x14ac:dyDescent="0.25">
      <c r="A16" s="17"/>
      <c r="B16" s="4" t="s">
        <v>20</v>
      </c>
      <c r="C16" s="6" t="s">
        <v>21</v>
      </c>
    </row>
    <row r="17" spans="2:3" x14ac:dyDescent="0.25">
      <c r="B17" s="115" t="str">
        <f>IF(C3+C4+C5+C6+C7=1,"                                 ","LÜTFEN YBÜ BRANŞINA AİT BEŞ KATEGORİ İÇİN VERİLERİNİZİ KONTROL EDİNİZ!")</f>
        <v xml:space="preserve">                                 </v>
      </c>
      <c r="C17" s="115"/>
    </row>
    <row r="18" spans="2:3" x14ac:dyDescent="0.25">
      <c r="B18" s="116"/>
      <c r="C18" s="116"/>
    </row>
    <row r="19" spans="2:3" x14ac:dyDescent="0.25">
      <c r="B19" s="92" t="str">
        <f>IF(C8+C9=1,"                      ","LÜTFEN KURUM YATAK SAYISINA AİT İKİ KATEGORİ İÇİN VERİLERİNİZİ KONTROL EDİNİZ!")</f>
        <v xml:space="preserve">                      </v>
      </c>
      <c r="C19" s="92"/>
    </row>
    <row r="20" spans="2:3" x14ac:dyDescent="0.25">
      <c r="B20" s="92"/>
      <c r="C20" s="92"/>
    </row>
    <row r="21" spans="2:3" x14ac:dyDescent="0.25">
      <c r="B21" s="92" t="str">
        <f>IF(C10&gt;C11,"HASTA SAYISI HASTA GÜNÜNDEN BÜYÜK OLAMAZ!","                          ")</f>
        <v xml:space="preserve">                          </v>
      </c>
      <c r="C21" s="92"/>
    </row>
    <row r="22" spans="2:3" x14ac:dyDescent="0.25">
      <c r="B22" s="92" t="str">
        <f>IF(C2&gt;C11,"ÜRİNER KATETER GÜNÜ HASTA GÜNÜNDEN BÜYÜK OLAMAZ!","                           ")</f>
        <v xml:space="preserve">                           </v>
      </c>
      <c r="C22" s="92"/>
    </row>
    <row r="23" spans="2:3" x14ac:dyDescent="0.25">
      <c r="B23" s="114" t="str">
        <f>IF(C13&gt;C12,"                          ","DÖNEM BAŞLANGICI DÖNEM BİTİŞİNDEN ÖNCE OLMALIDIR!")</f>
        <v xml:space="preserve">                          </v>
      </c>
      <c r="C23" s="114"/>
    </row>
  </sheetData>
  <sheetProtection algorithmName="SHA-512" hashValue="WPorm/g7E4/+swZnrA054LpLtd+APeRoDbCmNS0DJ3e7sOHNYrvrRRs85Q0MLhVToCm8bXQSvEt3dSgd2fq6Iw==" saltValue="Lx3x2Qn6zZZkCdzq5RDYSw==" spinCount="100000" sheet="1" objects="1" scenarios="1"/>
  <mergeCells count="22">
    <mergeCell ref="A3:A7"/>
    <mergeCell ref="A8:A9"/>
    <mergeCell ref="B14:B15"/>
    <mergeCell ref="C14:C15"/>
    <mergeCell ref="F4:K4"/>
    <mergeCell ref="F5:K5"/>
    <mergeCell ref="F7:G8"/>
    <mergeCell ref="H7:H8"/>
    <mergeCell ref="B21:C21"/>
    <mergeCell ref="B22:C22"/>
    <mergeCell ref="B23:C23"/>
    <mergeCell ref="F11:K12"/>
    <mergeCell ref="F6:H6"/>
    <mergeCell ref="J6:K6"/>
    <mergeCell ref="B17:C18"/>
    <mergeCell ref="B19:C20"/>
    <mergeCell ref="I7:I8"/>
    <mergeCell ref="J7:J8"/>
    <mergeCell ref="K7:K8"/>
    <mergeCell ref="F9:G9"/>
    <mergeCell ref="D4:E10"/>
    <mergeCell ref="F10:K10"/>
  </mergeCells>
  <dataValidations count="13">
    <dataValidation type="whole" operator="greaterThanOrEqual" allowBlank="1" showInputMessage="1" showErrorMessage="1" error="Lütfen 50 ve üzerinde bir tam sayı (rakamla) yazınız." promptTitle="Gözlenen üriner kateter günü" prompt="Lütfen gözlenen üriner kateter günü sayısını (rakamla) giriniz." sqref="C2">
      <formula1>50</formula1>
    </dataValidation>
    <dataValidation type="whole" allowBlank="1" showInputMessage="1" showErrorMessage="1" error="Lütfen 0 veya 1 (rakamla) yazınız." promptTitle="YBÜ branşı" prompt="Lütfen YBÜ branşı Karma YBÜ ise '1', değilse '0' giriniz." sqref="C3">
      <formula1>0</formula1>
      <formula2>1</formula2>
    </dataValidation>
    <dataValidation type="whole" allowBlank="1" showInputMessage="1" showErrorMessage="1" error="Lütfen 0 veya 1 (rakamla) yazınız." promptTitle="YBÜ branşı" prompt="Lütfen YBÜ branşı Anestezi ve Reanimasyon YBÜ ise '1', değilse '0' giriniz." sqref="C4">
      <formula1>0</formula1>
      <formula2>1</formula2>
    </dataValidation>
    <dataValidation type="whole" allowBlank="1" showInputMessage="1" showErrorMessage="1" error="Lütfen 0 veya 1 (rakamla) yazınız." promptTitle="YBÜ branşı" prompt="Lütfen YBÜ branşı Çocuk Hastalıkları YBÜ ise '1', değilse '0' giriniz." sqref="C5">
      <formula1>0</formula1>
      <formula2>1</formula2>
    </dataValidation>
    <dataValidation type="whole" allowBlank="1" showInputMessage="1" showErrorMessage="1" error="Lütfen 0 veya 1 (rakamla) yazınız." promptTitle="YBÜ branşı" prompt="Lütfen YBÜ branşı Erişkin Cerrahi YBÜ'ler ise '1', değilse '0' giriniz." sqref="C6:C7">
      <formula1>0</formula1>
      <formula2>1</formula2>
    </dataValidation>
    <dataValidation type="whole" operator="greaterThan" allowBlank="1" showInputMessage="1" showErrorMessage="1" error="Lütfen sıfırdan büyük bir tam sayı (rakamla) yazınız." promptTitle="Hasta sayısı" prompt="Lütfen hasta sayısını (rakamla) giriniz." sqref="C10">
      <formula1>0</formula1>
    </dataValidation>
    <dataValidation type="whole" operator="greaterThanOrEqual" allowBlank="1" showInputMessage="1" showErrorMessage="1" error="Lütfen 50 ve üzerinde bir tam sayıs (rakamla) yazınız." promptTitle="Hasta günü" prompt="Lütfen hasta günü sayısını (rakamla) giriniz." sqref="C11">
      <formula1>50</formula1>
    </dataValidation>
    <dataValidation type="whole" allowBlank="1" showInputMessage="1" showErrorMessage="1" error="Lütfen 0 veya 1 (rakamla) yazınız." promptTitle="Kurum yatak sayısı" prompt="Lütfen kurum yatak sayısı 200'ün üzerinde ise '1', değilse '0' giriniz." sqref="C9">
      <formula1>0</formula1>
      <formula2>1</formula2>
    </dataValidation>
    <dataValidation type="whole" allowBlank="1" showInputMessage="1" showErrorMessage="1" error="Lütfen 0 veya 1 (rakamla) yazınız." promptTitle="Kurum yatak sayısı" prompt="Lütfen kurum yatak sayısı 200 ve altında ise '1', değilse '0' giriniz." sqref="C8">
      <formula1>0</formula1>
      <formula2>1</formula2>
    </dataValidation>
    <dataValidation type="date" allowBlank="1" showInputMessage="1" showErrorMessage="1" errorTitle="VERİ GİRİŞ HATASI" error="LÜTFEN 1.01.2016 İLE 31.12.2025 ARASINDA BİR TARİH GİRİNİZ." prompt="İlgili dönemin başlangıç tarihini gg.aa.yyyy şeklinde yazınız." sqref="C12">
      <formula1>42370</formula1>
      <formula2>46022</formula2>
    </dataValidation>
    <dataValidation type="textLength" allowBlank="1" showInputMessage="1" showErrorMessage="1" prompt="İlgili birimin adını yazınız." sqref="C16">
      <formula1>5</formula1>
      <formula2>1000</formula2>
    </dataValidation>
    <dataValidation type="textLength" allowBlank="1" showInputMessage="1" showErrorMessage="1" prompt="İlgili kurumun adını yazınız." sqref="C14:C15">
      <formula1>10</formula1>
      <formula2>1000</formula2>
    </dataValidation>
    <dataValidation type="date" allowBlank="1" showInputMessage="1" showErrorMessage="1" error="LÜTFEN 1.01.2016 İLE 31.12.2025 ARASINDA BİR TARİH GİRİNİZ." prompt="İlgili dönemin bitiş tarihini gg.aa.yyyy şeklinde yazınız." sqref="C13">
      <formula1>42370</formula1>
      <formula2>46022</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C20" sqref="C20"/>
    </sheetView>
  </sheetViews>
  <sheetFormatPr defaultRowHeight="15" x14ac:dyDescent="0.25"/>
  <cols>
    <col min="1" max="1" width="37.42578125" customWidth="1"/>
    <col min="2" max="2" width="22.85546875" customWidth="1"/>
    <col min="3" max="3" width="18" customWidth="1"/>
    <col min="4" max="4" width="22.140625" customWidth="1"/>
    <col min="5" max="5" width="24.28515625" customWidth="1"/>
    <col min="6" max="6" width="17.140625" customWidth="1"/>
  </cols>
  <sheetData>
    <row r="1" spans="1:6" ht="46.5" customHeight="1" x14ac:dyDescent="0.25">
      <c r="A1" s="21" t="s">
        <v>39</v>
      </c>
      <c r="B1" s="21" t="s">
        <v>38</v>
      </c>
      <c r="C1" s="18" t="s">
        <v>29</v>
      </c>
      <c r="D1" s="18" t="s">
        <v>37</v>
      </c>
      <c r="E1" s="18" t="s">
        <v>36</v>
      </c>
      <c r="F1" s="18" t="s">
        <v>27</v>
      </c>
    </row>
    <row r="2" spans="1:6" ht="15.75" x14ac:dyDescent="0.25">
      <c r="A2" s="19">
        <v>49718</v>
      </c>
      <c r="B2" s="26">
        <v>38377.410000000003</v>
      </c>
      <c r="C2" s="20">
        <f>A2/B2</f>
        <v>1.2955017026943714</v>
      </c>
      <c r="D2" s="20">
        <f>C2*A17</f>
        <v>1.2841386702244257</v>
      </c>
      <c r="E2" s="20">
        <f>B11*B17</f>
        <v>1.3069402689446405</v>
      </c>
      <c r="F2" s="20" t="str">
        <f>IF(Q3&lt;3.8415,"p &gt; 0.05","p &lt; 0.05")</f>
        <v>p &gt; 0.05</v>
      </c>
    </row>
    <row r="3" spans="1:6" x14ac:dyDescent="0.25">
      <c r="A3" s="117" t="str">
        <f>IF(A5=2,"                      ","LÜTFEN HER İKİ VERİ GİRİŞ ALANINI DA DOLDURUNUZ!")</f>
        <v xml:space="preserve">                      </v>
      </c>
      <c r="B3" s="117"/>
      <c r="C3" s="119" t="str">
        <f>IF(A2=0,"TOPLAM ARAÇ GÜNÜ SAYISI GİRİLMEDİĞİ VEYA SIFIR OLDUĞU İÇİN %95 GA ALT SINIRI HESAPLANAMAMAKTADIR.","                        ")</f>
        <v xml:space="preserve">                        </v>
      </c>
      <c r="D3" s="119"/>
      <c r="E3" s="119"/>
      <c r="F3" s="119"/>
    </row>
    <row r="4" spans="1:6" x14ac:dyDescent="0.25">
      <c r="A4" s="118"/>
      <c r="B4" s="118"/>
      <c r="C4" s="120"/>
      <c r="D4" s="120"/>
      <c r="E4" s="120"/>
      <c r="F4" s="120"/>
    </row>
    <row r="5" spans="1:6" x14ac:dyDescent="0.25">
      <c r="A5" s="15">
        <f>COUNT(A2:B2)</f>
        <v>2</v>
      </c>
    </row>
    <row r="10" spans="1:6" x14ac:dyDescent="0.25">
      <c r="A10" s="15">
        <f>A2*9</f>
        <v>447462</v>
      </c>
      <c r="B10" s="15">
        <f>A2+1</f>
        <v>49719</v>
      </c>
    </row>
    <row r="11" spans="1:6" x14ac:dyDescent="0.25">
      <c r="A11" s="15">
        <f>SQRT(A10)</f>
        <v>668.9260048764736</v>
      </c>
      <c r="B11" s="15">
        <f>B10/B2</f>
        <v>1.29552775968988</v>
      </c>
    </row>
    <row r="12" spans="1:6" x14ac:dyDescent="0.25">
      <c r="A12" s="15">
        <f>1.96/A11</f>
        <v>2.9300699714341961E-3</v>
      </c>
      <c r="B12" s="15">
        <f>9*B10</f>
        <v>447471</v>
      </c>
    </row>
    <row r="13" spans="1:6" x14ac:dyDescent="0.25">
      <c r="A13" s="15"/>
      <c r="B13" s="15">
        <f>SQRT(B12)</f>
        <v>668.93273204411219</v>
      </c>
    </row>
    <row r="14" spans="1:6" x14ac:dyDescent="0.25">
      <c r="A14" s="15">
        <f>9*A2</f>
        <v>447462</v>
      </c>
      <c r="B14" s="15">
        <f>1.96/B13</f>
        <v>2.9300405049857083E-3</v>
      </c>
    </row>
    <row r="15" spans="1:6" x14ac:dyDescent="0.25">
      <c r="A15" s="15">
        <f>1/A14</f>
        <v>2.2348266444971862E-6</v>
      </c>
      <c r="B15" s="15">
        <f>1/B12</f>
        <v>2.2347816953500897E-6</v>
      </c>
    </row>
    <row r="16" spans="1:6" x14ac:dyDescent="0.25">
      <c r="A16" s="15">
        <f>1-A12-A15</f>
        <v>0.99706769520192129</v>
      </c>
      <c r="B16" s="15">
        <f>1+B14-B15</f>
        <v>1.0029278057232904</v>
      </c>
    </row>
    <row r="17" spans="1:2" x14ac:dyDescent="0.25">
      <c r="A17" s="15">
        <f>A16*A16*A16</f>
        <v>0.99122885562688734</v>
      </c>
      <c r="B17" s="15">
        <f>B16*B16*B16</f>
        <v>1.0088091584062178</v>
      </c>
    </row>
    <row r="18" spans="1:2" x14ac:dyDescent="0.25">
      <c r="A18" s="15"/>
      <c r="B18" s="15"/>
    </row>
  </sheetData>
  <sheetProtection algorithmName="SHA-512" hashValue="hDCdX0k8zC6AZsqSVFyd0w7FnnzBT38XiURLzrePGz5xQdsuZLCFDyq5nI1EskobPgDZPZJxOd+QdY1Exgto/Q==" saltValue="iPshiRr1T6tYUDLLOfmBMA==" spinCount="100000" sheet="1" objects="1" scenarios="1"/>
  <mergeCells count="2">
    <mergeCell ref="A3:B4"/>
    <mergeCell ref="C3:F4"/>
  </mergeCells>
  <dataValidations count="2">
    <dataValidation type="decimal" operator="greaterThanOrEqual" showInputMessage="1" showErrorMessage="1" errorTitle="VERİ GİRİŞ HATASI" error="TOPLAM ÖNGÖRÜLEN ENFEKSİYON SAYISI EN AZ 1.0 OLMALIDIR!" prompt="LÜTFEN KURUMUNUZA AİT YBÜ'LERDE İLGİLİ ENFEKSİYONA AİT ÖNGÖRÜLEN İLGİLİ ARAÇ GÜNÜ SAYILARININ TOPLAMINI GİRİNİZ (RAKAMLA). " sqref="B2">
      <formula1>1</formula1>
    </dataValidation>
    <dataValidation type="whole" allowBlank="1" showInputMessage="1" showErrorMessage="1" errorTitle="VERİ GİRİŞ HATASI" error="LÜTFEN 0 İLE 100000 ARASINDA BİR TAM SAYI GİRİNİZ." prompt="LÜTFEN KURUMUNUZA AİT İLGİLİ YBÜ'LERDE İLGİLİ ARAÇ GÜNÜ SAYILARININ TOPLAMINI YAZINIZ (RAKAMLA). " sqref="A2">
      <formula1>0</formula1>
      <formula2>10000000</formula2>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3"/>
  <sheetViews>
    <sheetView workbookViewId="0">
      <selection activeCell="E25" sqref="E25"/>
    </sheetView>
  </sheetViews>
  <sheetFormatPr defaultRowHeight="15" x14ac:dyDescent="0.25"/>
  <cols>
    <col min="1" max="1" width="21.5703125" customWidth="1"/>
    <col min="2" max="2" width="24" customWidth="1"/>
    <col min="3" max="3" width="19.85546875" customWidth="1"/>
    <col min="5" max="5" width="14.28515625" customWidth="1"/>
    <col min="6" max="6" width="13.7109375" customWidth="1"/>
  </cols>
  <sheetData>
    <row r="1" spans="1:101" x14ac:dyDescent="0.25">
      <c r="A1" s="121" t="s">
        <v>40</v>
      </c>
      <c r="B1" s="121" t="s">
        <v>46</v>
      </c>
      <c r="C1" s="121" t="s">
        <v>45</v>
      </c>
      <c r="D1" s="121" t="s">
        <v>29</v>
      </c>
      <c r="E1" s="121" t="s">
        <v>37</v>
      </c>
      <c r="F1" s="121" t="s">
        <v>36</v>
      </c>
    </row>
    <row r="2" spans="1:101" x14ac:dyDescent="0.25">
      <c r="A2" s="121"/>
      <c r="B2" s="121"/>
      <c r="C2" s="121"/>
      <c r="D2" s="121"/>
      <c r="E2" s="121"/>
      <c r="F2" s="121"/>
    </row>
    <row r="3" spans="1:101" ht="15.75" x14ac:dyDescent="0.25">
      <c r="A3" s="22" t="s">
        <v>41</v>
      </c>
      <c r="B3" s="22">
        <v>12520</v>
      </c>
      <c r="C3" s="25">
        <v>12356</v>
      </c>
      <c r="D3" s="23">
        <f>B3/C3</f>
        <v>1.0132729038523793</v>
      </c>
      <c r="E3" s="23">
        <f>D3*CA33</f>
        <v>0.99560041214166628</v>
      </c>
      <c r="F3" s="23">
        <f>CI33*CH33</f>
        <v>1.0311803535957929</v>
      </c>
      <c r="K3" s="1"/>
    </row>
    <row r="4" spans="1:101" ht="15.75" x14ac:dyDescent="0.25">
      <c r="A4" s="22" t="s">
        <v>42</v>
      </c>
      <c r="B4" s="22">
        <v>65240</v>
      </c>
      <c r="C4" s="25">
        <v>74520</v>
      </c>
      <c r="D4" s="23">
        <f t="shared" ref="D4:D6" si="0">B4/C4</f>
        <v>0.87546967257112185</v>
      </c>
      <c r="E4" s="23">
        <f>D4*CA34</f>
        <v>0.86876438834117931</v>
      </c>
      <c r="F4" s="23">
        <f>CI34*CH34</f>
        <v>0.88221384882418685</v>
      </c>
      <c r="K4" s="1"/>
    </row>
    <row r="5" spans="1:101" ht="15.75" x14ac:dyDescent="0.25">
      <c r="A5" s="22" t="s">
        <v>43</v>
      </c>
      <c r="B5" s="22">
        <v>145</v>
      </c>
      <c r="C5" s="25">
        <v>1258</v>
      </c>
      <c r="D5" s="23">
        <f t="shared" si="0"/>
        <v>0.11526232114467408</v>
      </c>
      <c r="E5" s="23">
        <f>D5*CA35</f>
        <v>9.7263868651543073E-2</v>
      </c>
      <c r="F5" s="23">
        <f>CI35*CH35</f>
        <v>0.13562503629581926</v>
      </c>
      <c r="K5" s="1"/>
    </row>
    <row r="6" spans="1:101" ht="15.75" x14ac:dyDescent="0.25">
      <c r="A6" s="22" t="s">
        <v>44</v>
      </c>
      <c r="B6" s="22">
        <v>888</v>
      </c>
      <c r="C6" s="25">
        <v>888</v>
      </c>
      <c r="D6" s="23">
        <f t="shared" si="0"/>
        <v>1</v>
      </c>
      <c r="E6" s="23">
        <f>D6*CA36</f>
        <v>0.93529915988982038</v>
      </c>
      <c r="F6" s="23">
        <f>CI36*CH36</f>
        <v>1.0679970602032172</v>
      </c>
      <c r="K6" s="1"/>
    </row>
    <row r="7" spans="1:101" x14ac:dyDescent="0.25">
      <c r="K7" s="1"/>
    </row>
    <row r="8" spans="1:101" x14ac:dyDescent="0.25">
      <c r="K8" s="1"/>
    </row>
    <row r="9" spans="1:101" x14ac:dyDescent="0.25">
      <c r="K9" s="1"/>
      <c r="CV9" s="15">
        <f>D3-E3</f>
        <v>1.7672491710713056E-2</v>
      </c>
      <c r="CW9" s="15">
        <f>F3-D3</f>
        <v>1.7907449743413517E-2</v>
      </c>
    </row>
    <row r="10" spans="1:101" x14ac:dyDescent="0.25">
      <c r="K10" s="1"/>
      <c r="CV10" s="15">
        <f>D4-E4</f>
        <v>6.705284229942543E-3</v>
      </c>
      <c r="CW10" s="15">
        <f>F4-D4</f>
        <v>6.744176253065004E-3</v>
      </c>
    </row>
    <row r="11" spans="1:101" x14ac:dyDescent="0.25">
      <c r="K11" s="1"/>
      <c r="CV11" s="15">
        <f>D5-E5</f>
        <v>1.7998452493131006E-2</v>
      </c>
      <c r="CW11" s="15">
        <f>F5-D5</f>
        <v>2.0362715151145183E-2</v>
      </c>
    </row>
    <row r="12" spans="1:101" x14ac:dyDescent="0.25">
      <c r="K12" s="1"/>
      <c r="CV12" s="15">
        <f>D6-E6</f>
        <v>6.4700840110179625E-2</v>
      </c>
      <c r="CW12" s="15">
        <f>F6-D6</f>
        <v>6.7997060203217163E-2</v>
      </c>
    </row>
    <row r="13" spans="1:101" x14ac:dyDescent="0.25">
      <c r="CV13" s="15" t="e">
        <f>#REF!-#REF!</f>
        <v>#REF!</v>
      </c>
      <c r="CW13" s="15" t="e">
        <f>#REF!-#REF!</f>
        <v>#REF!</v>
      </c>
    </row>
    <row r="14" spans="1:101" x14ac:dyDescent="0.25">
      <c r="CV14" s="15" t="e">
        <f>#REF!-#REF!</f>
        <v>#REF!</v>
      </c>
      <c r="CW14" s="15" t="e">
        <f>#REF!-#REF!</f>
        <v>#REF!</v>
      </c>
    </row>
    <row r="15" spans="1:101" x14ac:dyDescent="0.25">
      <c r="CV15" s="15" t="e">
        <f>#REF!-#REF!</f>
        <v>#REF!</v>
      </c>
      <c r="CW15" s="15" t="e">
        <f>#REF!-#REF!</f>
        <v>#REF!</v>
      </c>
    </row>
    <row r="16" spans="1:101" x14ac:dyDescent="0.25">
      <c r="CV16" s="15" t="e">
        <f>#REF!-#REF!</f>
        <v>#REF!</v>
      </c>
      <c r="CW16" s="15" t="e">
        <f>#REF!-#REF!</f>
        <v>#REF!</v>
      </c>
    </row>
    <row r="17" spans="100:101" x14ac:dyDescent="0.25">
      <c r="CV17" s="15" t="e">
        <f>#REF!-#REF!</f>
        <v>#REF!</v>
      </c>
      <c r="CW17" s="15" t="e">
        <f>#REF!-#REF!</f>
        <v>#REF!</v>
      </c>
    </row>
    <row r="18" spans="100:101" x14ac:dyDescent="0.25">
      <c r="CV18" s="15" t="e">
        <f>#REF!-#REF!</f>
        <v>#REF!</v>
      </c>
      <c r="CW18" s="15" t="e">
        <f>#REF!-#REF!</f>
        <v>#REF!</v>
      </c>
    </row>
    <row r="33" spans="75:88" x14ac:dyDescent="0.25">
      <c r="BW33" s="24">
        <f>SQRT(9*B3)</f>
        <v>335.67841753678476</v>
      </c>
      <c r="BX33" s="24">
        <f>1.96/BW33</f>
        <v>5.838921710792493E-3</v>
      </c>
      <c r="BY33" s="24">
        <f>1/(9*B3)</f>
        <v>8.8746893858714951E-6</v>
      </c>
      <c r="BZ33" s="24">
        <f>1-BY33-BX33</f>
        <v>0.9941522035998217</v>
      </c>
      <c r="CA33" s="24">
        <f>BZ33*BZ33*BZ33</f>
        <v>0.98255900099220683</v>
      </c>
      <c r="CB33" s="24"/>
      <c r="CC33" s="24"/>
      <c r="CD33" s="24">
        <f>SQRT(9*(B3+1))</f>
        <v>335.69182295671129</v>
      </c>
      <c r="CE33" s="24">
        <f>1.96/CD33</f>
        <v>5.8386885409858471E-3</v>
      </c>
      <c r="CF33" s="24">
        <f>1/(9*(B3+1))</f>
        <v>8.8739806014784045E-6</v>
      </c>
      <c r="CG33" s="24">
        <f>1-CF33+CE33</f>
        <v>1.0058298145603843</v>
      </c>
      <c r="CH33" s="24">
        <f>CG33*CG33*CG33</f>
        <v>1.0175916020309574</v>
      </c>
      <c r="CI33" s="24">
        <f>(B3+1)/C3</f>
        <v>1.0133538361929426</v>
      </c>
      <c r="CJ33" s="24"/>
    </row>
    <row r="34" spans="75:88" x14ac:dyDescent="0.25">
      <c r="BW34" s="24">
        <f>SQRT(9*B4)</f>
        <v>766.26366219467832</v>
      </c>
      <c r="BX34" s="24">
        <f t="shared" ref="BX34:BX42" si="1">1.96/BW34</f>
        <v>2.5578663020327836E-3</v>
      </c>
      <c r="BY34" s="24">
        <f>1/(9*B4)</f>
        <v>1.7031132910961237E-6</v>
      </c>
      <c r="BZ34" s="24">
        <f t="shared" ref="BZ34:BZ42" si="2">1-BY34-BX34</f>
        <v>0.99744043058467613</v>
      </c>
      <c r="CA34" s="24">
        <f t="shared" ref="CA34:CA42" si="3">BZ34*BZ34*BZ34</f>
        <v>0.99234092917205219</v>
      </c>
      <c r="CB34" s="24"/>
      <c r="CC34" s="24"/>
      <c r="CD34" s="24">
        <f>SQRT(9*(B4+1))</f>
        <v>766.26953482439842</v>
      </c>
      <c r="CE34" s="24">
        <f t="shared" ref="CE34:CE42" si="4">1.96/CD34</f>
        <v>2.5578466987457122E-3</v>
      </c>
      <c r="CF34" s="24">
        <f>1/(9*(B4+1))</f>
        <v>1.7030871861423201E-6</v>
      </c>
      <c r="CG34" s="24">
        <f t="shared" ref="CG34:CG42" si="5">1-CF34+CE34</f>
        <v>1.0025561436115595</v>
      </c>
      <c r="CH34" s="24">
        <f t="shared" ref="CH34:CH42" si="6">CG34*CG34*CG34</f>
        <v>1.0076880491466778</v>
      </c>
      <c r="CI34" s="24">
        <f>(B4+1)/C4</f>
        <v>0.87548309178743966</v>
      </c>
      <c r="CJ34" s="24"/>
    </row>
    <row r="35" spans="75:88" x14ac:dyDescent="0.25">
      <c r="BW35" s="24">
        <f>SQRT(9*B5)</f>
        <v>36.124783736376884</v>
      </c>
      <c r="BX35" s="24">
        <f t="shared" si="1"/>
        <v>5.4256380171110119E-2</v>
      </c>
      <c r="BY35" s="24">
        <f>1/(9*B5)</f>
        <v>7.6628352490421458E-4</v>
      </c>
      <c r="BZ35" s="24">
        <f t="shared" si="2"/>
        <v>0.94497733630398562</v>
      </c>
      <c r="CA35" s="24">
        <f t="shared" si="3"/>
        <v>0.84384790871476689</v>
      </c>
      <c r="CB35" s="24"/>
      <c r="CC35" s="24"/>
      <c r="CD35" s="24">
        <f>SQRT(9*(B5+1))</f>
        <v>36.249137920783717</v>
      </c>
      <c r="CE35" s="24">
        <f t="shared" si="4"/>
        <v>5.407025138868804E-2</v>
      </c>
      <c r="CF35" s="24">
        <f>1/(9*(B5+1))</f>
        <v>7.6103500761035003E-4</v>
      </c>
      <c r="CG35" s="24">
        <f t="shared" si="5"/>
        <v>1.0533092163810776</v>
      </c>
      <c r="CH35" s="24">
        <f t="shared" si="6"/>
        <v>1.1686047647954838</v>
      </c>
      <c r="CI35" s="24">
        <f>(B5+1)/C5</f>
        <v>0.11605723370429252</v>
      </c>
      <c r="CJ35" s="24"/>
    </row>
    <row r="36" spans="75:88" x14ac:dyDescent="0.25">
      <c r="BW36" s="24">
        <f>SQRT(9*B6)</f>
        <v>89.397986554508037</v>
      </c>
      <c r="BX36" s="24">
        <f t="shared" si="1"/>
        <v>2.1924431136991461E-2</v>
      </c>
      <c r="BY36" s="24">
        <f>1/(9*B6)</f>
        <v>1.2512512512512512E-4</v>
      </c>
      <c r="BZ36" s="24">
        <f t="shared" si="2"/>
        <v>0.97795044373788342</v>
      </c>
      <c r="CA36" s="24">
        <f t="shared" si="3"/>
        <v>0.93529915988982038</v>
      </c>
      <c r="CB36" s="24"/>
      <c r="CC36" s="24"/>
      <c r="CD36" s="24">
        <f>SQRT(9*(B6+1))</f>
        <v>89.44830909525345</v>
      </c>
      <c r="CE36" s="24">
        <f t="shared" si="4"/>
        <v>2.191209671624756E-2</v>
      </c>
      <c r="CF36" s="24">
        <f>1/(9*(B6+1))</f>
        <v>1.2498437695288088E-4</v>
      </c>
      <c r="CG36" s="24">
        <f t="shared" si="5"/>
        <v>1.0217871123392948</v>
      </c>
      <c r="CH36" s="24">
        <f t="shared" si="6"/>
        <v>1.066795713678804</v>
      </c>
      <c r="CI36" s="24">
        <f>(B6+1)/C6</f>
        <v>1.0011261261261262</v>
      </c>
      <c r="CJ36" s="24"/>
    </row>
    <row r="37" spans="75:88" x14ac:dyDescent="0.25">
      <c r="BW37" s="24" t="e">
        <f>SQRT(9*#REF!)</f>
        <v>#REF!</v>
      </c>
      <c r="BX37" s="24" t="e">
        <f t="shared" si="1"/>
        <v>#REF!</v>
      </c>
      <c r="BY37" s="24" t="e">
        <f>1/(9*#REF!)</f>
        <v>#REF!</v>
      </c>
      <c r="BZ37" s="24" t="e">
        <f t="shared" si="2"/>
        <v>#REF!</v>
      </c>
      <c r="CA37" s="24" t="e">
        <f t="shared" si="3"/>
        <v>#REF!</v>
      </c>
      <c r="CB37" s="24"/>
      <c r="CC37" s="24"/>
      <c r="CD37" s="24" t="e">
        <f>SQRT(9*(#REF!+1))</f>
        <v>#REF!</v>
      </c>
      <c r="CE37" s="24" t="e">
        <f t="shared" si="4"/>
        <v>#REF!</v>
      </c>
      <c r="CF37" s="24" t="e">
        <f>1/(9*(#REF!+1))</f>
        <v>#REF!</v>
      </c>
      <c r="CG37" s="24" t="e">
        <f t="shared" si="5"/>
        <v>#REF!</v>
      </c>
      <c r="CH37" s="24" t="e">
        <f t="shared" si="6"/>
        <v>#REF!</v>
      </c>
      <c r="CI37" s="24" t="e">
        <f>(#REF!+1)/#REF!</f>
        <v>#REF!</v>
      </c>
      <c r="CJ37" s="24"/>
    </row>
    <row r="38" spans="75:88" x14ac:dyDescent="0.25">
      <c r="BW38" s="24" t="e">
        <f>SQRT(9*#REF!)</f>
        <v>#REF!</v>
      </c>
      <c r="BX38" s="24" t="e">
        <f t="shared" si="1"/>
        <v>#REF!</v>
      </c>
      <c r="BY38" s="24" t="e">
        <f>1/(9*#REF!)</f>
        <v>#REF!</v>
      </c>
      <c r="BZ38" s="24" t="e">
        <f t="shared" si="2"/>
        <v>#REF!</v>
      </c>
      <c r="CA38" s="24" t="e">
        <f t="shared" si="3"/>
        <v>#REF!</v>
      </c>
      <c r="CB38" s="24"/>
      <c r="CC38" s="24"/>
      <c r="CD38" s="24" t="e">
        <f>SQRT(9*(#REF!+1))</f>
        <v>#REF!</v>
      </c>
      <c r="CE38" s="24" t="e">
        <f t="shared" si="4"/>
        <v>#REF!</v>
      </c>
      <c r="CF38" s="24" t="e">
        <f>1/(9*(#REF!+1))</f>
        <v>#REF!</v>
      </c>
      <c r="CG38" s="24" t="e">
        <f t="shared" si="5"/>
        <v>#REF!</v>
      </c>
      <c r="CH38" s="24" t="e">
        <f t="shared" si="6"/>
        <v>#REF!</v>
      </c>
      <c r="CI38" s="24" t="e">
        <f>(#REF!+1)/#REF!</f>
        <v>#REF!</v>
      </c>
      <c r="CJ38" s="24"/>
    </row>
    <row r="39" spans="75:88" x14ac:dyDescent="0.25">
      <c r="BW39" s="24" t="e">
        <f>SQRT(9*#REF!)</f>
        <v>#REF!</v>
      </c>
      <c r="BX39" s="24" t="e">
        <f t="shared" si="1"/>
        <v>#REF!</v>
      </c>
      <c r="BY39" s="24" t="e">
        <f>1/(9*#REF!)</f>
        <v>#REF!</v>
      </c>
      <c r="BZ39" s="24" t="e">
        <f t="shared" si="2"/>
        <v>#REF!</v>
      </c>
      <c r="CA39" s="24" t="e">
        <f t="shared" si="3"/>
        <v>#REF!</v>
      </c>
      <c r="CB39" s="24"/>
      <c r="CC39" s="24"/>
      <c r="CD39" s="24" t="e">
        <f>SQRT(9*(#REF!+1))</f>
        <v>#REF!</v>
      </c>
      <c r="CE39" s="24" t="e">
        <f t="shared" si="4"/>
        <v>#REF!</v>
      </c>
      <c r="CF39" s="24" t="e">
        <f>1/(9*(#REF!+1))</f>
        <v>#REF!</v>
      </c>
      <c r="CG39" s="24" t="e">
        <f t="shared" si="5"/>
        <v>#REF!</v>
      </c>
      <c r="CH39" s="24" t="e">
        <f t="shared" si="6"/>
        <v>#REF!</v>
      </c>
      <c r="CI39" s="24" t="e">
        <f>(#REF!+1)/#REF!</f>
        <v>#REF!</v>
      </c>
      <c r="CJ39" s="24"/>
    </row>
    <row r="40" spans="75:88" x14ac:dyDescent="0.25">
      <c r="BW40" s="24" t="e">
        <f>SQRT(9*#REF!)</f>
        <v>#REF!</v>
      </c>
      <c r="BX40" s="24" t="e">
        <f t="shared" si="1"/>
        <v>#REF!</v>
      </c>
      <c r="BY40" s="24" t="e">
        <f>1/(9*#REF!)</f>
        <v>#REF!</v>
      </c>
      <c r="BZ40" s="24" t="e">
        <f t="shared" si="2"/>
        <v>#REF!</v>
      </c>
      <c r="CA40" s="24" t="e">
        <f t="shared" si="3"/>
        <v>#REF!</v>
      </c>
      <c r="CB40" s="24"/>
      <c r="CC40" s="24"/>
      <c r="CD40" s="24" t="e">
        <f>SQRT(9*(#REF!+1))</f>
        <v>#REF!</v>
      </c>
      <c r="CE40" s="24" t="e">
        <f t="shared" si="4"/>
        <v>#REF!</v>
      </c>
      <c r="CF40" s="24" t="e">
        <f>1/(9*(#REF!+1))</f>
        <v>#REF!</v>
      </c>
      <c r="CG40" s="24" t="e">
        <f t="shared" si="5"/>
        <v>#REF!</v>
      </c>
      <c r="CH40" s="24" t="e">
        <f t="shared" si="6"/>
        <v>#REF!</v>
      </c>
      <c r="CI40" s="24" t="e">
        <f>(#REF!+1)/#REF!</f>
        <v>#REF!</v>
      </c>
      <c r="CJ40" s="24"/>
    </row>
    <row r="41" spans="75:88" x14ac:dyDescent="0.25">
      <c r="BW41" s="24" t="e">
        <f>SQRT(9*#REF!)</f>
        <v>#REF!</v>
      </c>
      <c r="BX41" s="24" t="e">
        <f t="shared" si="1"/>
        <v>#REF!</v>
      </c>
      <c r="BY41" s="24" t="e">
        <f>1/(9*#REF!)</f>
        <v>#REF!</v>
      </c>
      <c r="BZ41" s="24" t="e">
        <f t="shared" si="2"/>
        <v>#REF!</v>
      </c>
      <c r="CA41" s="24" t="e">
        <f t="shared" si="3"/>
        <v>#REF!</v>
      </c>
      <c r="CB41" s="24"/>
      <c r="CC41" s="24"/>
      <c r="CD41" s="24" t="e">
        <f>SQRT(9*(#REF!+1))</f>
        <v>#REF!</v>
      </c>
      <c r="CE41" s="24" t="e">
        <f t="shared" si="4"/>
        <v>#REF!</v>
      </c>
      <c r="CF41" s="24" t="e">
        <f>1/(9*(#REF!+1))</f>
        <v>#REF!</v>
      </c>
      <c r="CG41" s="24" t="e">
        <f t="shared" si="5"/>
        <v>#REF!</v>
      </c>
      <c r="CH41" s="24" t="e">
        <f t="shared" si="6"/>
        <v>#REF!</v>
      </c>
      <c r="CI41" s="24" t="e">
        <f>(#REF!+1)/#REF!</f>
        <v>#REF!</v>
      </c>
      <c r="CJ41" s="24"/>
    </row>
    <row r="42" spans="75:88" x14ac:dyDescent="0.25">
      <c r="BW42" s="24" t="e">
        <f>SQRT(9*#REF!)</f>
        <v>#REF!</v>
      </c>
      <c r="BX42" s="24" t="e">
        <f t="shared" si="1"/>
        <v>#REF!</v>
      </c>
      <c r="BY42" s="24" t="e">
        <f>1/(9*#REF!)</f>
        <v>#REF!</v>
      </c>
      <c r="BZ42" s="24" t="e">
        <f t="shared" si="2"/>
        <v>#REF!</v>
      </c>
      <c r="CA42" s="24" t="e">
        <f t="shared" si="3"/>
        <v>#REF!</v>
      </c>
      <c r="CB42" s="24"/>
      <c r="CC42" s="24"/>
      <c r="CD42" s="24" t="e">
        <f>SQRT(9*(#REF!+1))</f>
        <v>#REF!</v>
      </c>
      <c r="CE42" s="24" t="e">
        <f t="shared" si="4"/>
        <v>#REF!</v>
      </c>
      <c r="CF42" s="24" t="e">
        <f>1/(9*(#REF!+1))</f>
        <v>#REF!</v>
      </c>
      <c r="CG42" s="24" t="e">
        <f t="shared" si="5"/>
        <v>#REF!</v>
      </c>
      <c r="CH42" s="24" t="e">
        <f t="shared" si="6"/>
        <v>#REF!</v>
      </c>
      <c r="CI42" s="24" t="e">
        <f>(#REF!+1)/#REF!</f>
        <v>#REF!</v>
      </c>
      <c r="CJ42" s="24"/>
    </row>
    <row r="43" spans="75:88" x14ac:dyDescent="0.25">
      <c r="BW43" s="24"/>
      <c r="BX43" s="24"/>
      <c r="BY43" s="24"/>
      <c r="BZ43" s="24"/>
      <c r="CA43" s="24"/>
      <c r="CB43" s="24"/>
      <c r="CC43" s="24"/>
      <c r="CD43" s="24"/>
      <c r="CE43" s="24"/>
      <c r="CF43" s="24"/>
      <c r="CG43" s="24"/>
      <c r="CH43" s="24"/>
      <c r="CI43" s="24"/>
      <c r="CJ43" s="24"/>
    </row>
  </sheetData>
  <sheetProtection algorithmName="SHA-512" hashValue="ijq4q+CDrdPao2ai+BUgnjALG2Zpg8omFJUQNQav2GLjEFS7yesQ7bXGkcIJN2VdqJPWTr7+2S5p8l1zEwwPoA==" saltValue="a+Q+DE1PeL2o4LNwlW1FwQ==" spinCount="100000" sheet="1" objects="1" scenarios="1"/>
  <mergeCells count="6">
    <mergeCell ref="F1:F2"/>
    <mergeCell ref="A1:A2"/>
    <mergeCell ref="B1:B2"/>
    <mergeCell ref="C1:C2"/>
    <mergeCell ref="D1:D2"/>
    <mergeCell ref="E1:E2"/>
  </mergeCells>
  <dataValidations count="4">
    <dataValidation type="whole" allowBlank="1" showInputMessage="1" showErrorMessage="1" errorTitle="VERİ GİRİŞ HATASI" error="LÜTFEN 0 İLE 1000000 ARASINDA BİR TAM SAYI GİRİNİZ." prompt="LÜTFEN İLGİLİ DÖNEME AİT GÖZLENEN ARAÇ GÜNÜ SAYISINI RAKAMLA YAZINIZ." sqref="B5:B6 B3">
      <formula1>0</formula1>
      <formula2>1000000</formula2>
    </dataValidation>
    <dataValidation type="decimal" allowBlank="1" showInputMessage="1" showErrorMessage="1" errorTitle="VERİ GİRİŞ HATASI" error="ÖNGÖRÜLEN ARAÇ GÜNÜ SAYISI 1.0'DAN KÜÇÜK OLMAMALIDIR!" prompt="LÜTFEN İLGİLİ DÖNEME AİT ÖNGÖRÜLEN ARAÇ GÜNÜ SAYISINI RAKAMLA YAZINIZ." sqref="C3:C6">
      <formula1>1</formula1>
      <formula2>1000000</formula2>
    </dataValidation>
    <dataValidation allowBlank="1" showInputMessage="1" showErrorMessage="1" prompt="LÜTFEN İLGİLİ DÖNEMİ YAZINIZ." sqref="A3:A6"/>
    <dataValidation type="whole" allowBlank="1" showInputMessage="1" showErrorMessage="1" errorTitle="VERİ GİRİŞ HATASI" error="LÜTFEN 0 İLE 1000000 ARASINDA BİR TAM SAYI GİRİNİZ." prompt="LÜTFEN İLGİLİ DÖNEME GÖZLENEN AİT ARAÇ GÜNÜ SAYISINI RAKAMLA YAZINIZ." sqref="B4">
      <formula1>0</formula1>
      <formula2>1000000</formula2>
    </dataValidation>
  </dataValidations>
  <pageMargins left="0.7" right="0.7" top="0.75" bottom="0.75" header="0.3" footer="0.3"/>
  <pageSetup paperSize="9" orientation="portrait" horizontalDpi="30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3"/>
  <sheetViews>
    <sheetView workbookViewId="0">
      <selection activeCell="H24" sqref="H24"/>
    </sheetView>
  </sheetViews>
  <sheetFormatPr defaultRowHeight="15" x14ac:dyDescent="0.25"/>
  <cols>
    <col min="1" max="1" width="21.5703125" customWidth="1"/>
    <col min="2" max="2" width="24" customWidth="1"/>
    <col min="3" max="3" width="19.85546875" customWidth="1"/>
    <col min="5" max="5" width="14.28515625" customWidth="1"/>
    <col min="6" max="6" width="13.7109375" customWidth="1"/>
  </cols>
  <sheetData>
    <row r="1" spans="1:101" x14ac:dyDescent="0.25">
      <c r="A1" s="121" t="s">
        <v>47</v>
      </c>
      <c r="B1" s="121" t="s">
        <v>46</v>
      </c>
      <c r="C1" s="121" t="s">
        <v>45</v>
      </c>
      <c r="D1" s="121" t="s">
        <v>29</v>
      </c>
      <c r="E1" s="121" t="s">
        <v>37</v>
      </c>
      <c r="F1" s="121" t="s">
        <v>36</v>
      </c>
    </row>
    <row r="2" spans="1:101" x14ac:dyDescent="0.25">
      <c r="A2" s="121"/>
      <c r="B2" s="121"/>
      <c r="C2" s="121"/>
      <c r="D2" s="121"/>
      <c r="E2" s="121"/>
      <c r="F2" s="121"/>
    </row>
    <row r="3" spans="1:101" ht="15.75" x14ac:dyDescent="0.25">
      <c r="A3" s="22">
        <v>2016</v>
      </c>
      <c r="B3" s="22">
        <v>45</v>
      </c>
      <c r="C3" s="25">
        <v>41</v>
      </c>
      <c r="D3" s="23">
        <f>B3/C3</f>
        <v>1.0975609756097562</v>
      </c>
      <c r="E3" s="23">
        <f>D3*CA33</f>
        <v>0.80048921317191257</v>
      </c>
      <c r="F3" s="23">
        <f>CI33*CH33</f>
        <v>1.4686647312612133</v>
      </c>
      <c r="K3" s="1"/>
    </row>
    <row r="4" spans="1:101" ht="15.75" x14ac:dyDescent="0.25">
      <c r="A4" s="22">
        <v>2017</v>
      </c>
      <c r="B4" s="22">
        <v>45</v>
      </c>
      <c r="C4" s="25">
        <v>41</v>
      </c>
      <c r="D4" s="23">
        <f t="shared" ref="D4:D7" si="0">B4/C4</f>
        <v>1.0975609756097562</v>
      </c>
      <c r="E4" s="23">
        <f>D4*CA34</f>
        <v>0.80048921317191257</v>
      </c>
      <c r="F4" s="23">
        <f>CI34*CH34</f>
        <v>1.4686647312612133</v>
      </c>
      <c r="K4" s="1"/>
    </row>
    <row r="5" spans="1:101" ht="15.75" x14ac:dyDescent="0.25">
      <c r="A5" s="22">
        <v>2018</v>
      </c>
      <c r="B5" s="22">
        <v>45</v>
      </c>
      <c r="C5" s="25">
        <v>41</v>
      </c>
      <c r="D5" s="23">
        <f t="shared" si="0"/>
        <v>1.0975609756097562</v>
      </c>
      <c r="E5" s="23">
        <f>D5*CA35</f>
        <v>0.80048921317191257</v>
      </c>
      <c r="F5" s="23">
        <f>CI35*CH35</f>
        <v>1.4686647312612133</v>
      </c>
      <c r="K5" s="1"/>
    </row>
    <row r="6" spans="1:101" ht="15.75" x14ac:dyDescent="0.25">
      <c r="A6" s="22">
        <v>2019</v>
      </c>
      <c r="B6" s="22">
        <v>35</v>
      </c>
      <c r="C6" s="25">
        <v>41</v>
      </c>
      <c r="D6" s="23">
        <f t="shared" si="0"/>
        <v>0.85365853658536583</v>
      </c>
      <c r="E6" s="23">
        <f>D6*CA36</f>
        <v>0.5945132454922204</v>
      </c>
      <c r="F6" s="23">
        <f>CI36*CH36</f>
        <v>1.1872749642698557</v>
      </c>
      <c r="K6" s="1"/>
    </row>
    <row r="7" spans="1:101" ht="15.75" x14ac:dyDescent="0.25">
      <c r="A7" s="22">
        <v>2020</v>
      </c>
      <c r="B7" s="22">
        <v>45</v>
      </c>
      <c r="C7" s="25">
        <v>41</v>
      </c>
      <c r="D7" s="23">
        <f t="shared" si="0"/>
        <v>1.0975609756097562</v>
      </c>
      <c r="E7" s="23">
        <f>D7*CA37</f>
        <v>0.80048921317191257</v>
      </c>
      <c r="F7" s="23">
        <f>CI37*CH37</f>
        <v>1.4686647312612133</v>
      </c>
      <c r="K7" s="1"/>
    </row>
    <row r="8" spans="1:101" x14ac:dyDescent="0.25">
      <c r="K8" s="1"/>
    </row>
    <row r="9" spans="1:101" x14ac:dyDescent="0.25">
      <c r="K9" s="1"/>
      <c r="CV9" s="15">
        <f>D3-E3</f>
        <v>0.29707176243784361</v>
      </c>
      <c r="CW9" s="15">
        <f>F3-D3</f>
        <v>0.37110375565145715</v>
      </c>
    </row>
    <row r="10" spans="1:101" x14ac:dyDescent="0.25">
      <c r="K10" s="1"/>
      <c r="CV10" s="15">
        <f>D4-E4</f>
        <v>0.29707176243784361</v>
      </c>
      <c r="CW10" s="15">
        <f>F4-D4</f>
        <v>0.37110375565145715</v>
      </c>
    </row>
    <row r="11" spans="1:101" x14ac:dyDescent="0.25">
      <c r="K11" s="1"/>
      <c r="CV11" s="15">
        <f>D5-E5</f>
        <v>0.29707176243784361</v>
      </c>
      <c r="CW11" s="15">
        <f>F5-D5</f>
        <v>0.37110375565145715</v>
      </c>
    </row>
    <row r="12" spans="1:101" x14ac:dyDescent="0.25">
      <c r="K12" s="1"/>
      <c r="CV12" s="15">
        <f>D6-E6</f>
        <v>0.25914529109314544</v>
      </c>
      <c r="CW12" s="15">
        <f>F6-D6</f>
        <v>0.33361642768448985</v>
      </c>
    </row>
    <row r="13" spans="1:101" x14ac:dyDescent="0.25">
      <c r="CV13" s="15">
        <f>D7-E7</f>
        <v>0.29707176243784361</v>
      </c>
      <c r="CW13" s="15">
        <f>F7-D7</f>
        <v>0.37110375565145715</v>
      </c>
    </row>
    <row r="14" spans="1:101" x14ac:dyDescent="0.25">
      <c r="CV14" s="15" t="e">
        <f>#REF!-#REF!</f>
        <v>#REF!</v>
      </c>
      <c r="CW14" s="15" t="e">
        <f>#REF!-#REF!</f>
        <v>#REF!</v>
      </c>
    </row>
    <row r="15" spans="1:101" x14ac:dyDescent="0.25">
      <c r="CV15" s="15" t="e">
        <f>#REF!-#REF!</f>
        <v>#REF!</v>
      </c>
      <c r="CW15" s="15" t="e">
        <f>#REF!-#REF!</f>
        <v>#REF!</v>
      </c>
    </row>
    <row r="16" spans="1:101" x14ac:dyDescent="0.25">
      <c r="CV16" s="15" t="e">
        <f>#REF!-#REF!</f>
        <v>#REF!</v>
      </c>
      <c r="CW16" s="15" t="e">
        <f>#REF!-#REF!</f>
        <v>#REF!</v>
      </c>
    </row>
    <row r="17" spans="100:101" x14ac:dyDescent="0.25">
      <c r="CV17" s="15" t="e">
        <f>#REF!-#REF!</f>
        <v>#REF!</v>
      </c>
      <c r="CW17" s="15" t="e">
        <f>#REF!-#REF!</f>
        <v>#REF!</v>
      </c>
    </row>
    <row r="18" spans="100:101" x14ac:dyDescent="0.25">
      <c r="CV18" s="15" t="e">
        <f>#REF!-#REF!</f>
        <v>#REF!</v>
      </c>
      <c r="CW18" s="15" t="e">
        <f>#REF!-#REF!</f>
        <v>#REF!</v>
      </c>
    </row>
    <row r="33" spans="75:88" x14ac:dyDescent="0.25">
      <c r="BW33" s="24">
        <f>SQRT(9*B3)</f>
        <v>20.124611797498108</v>
      </c>
      <c r="BX33" s="24">
        <f>1.96/BW33</f>
        <v>9.7393183019990837E-2</v>
      </c>
      <c r="BY33" s="24">
        <f>1/(9*B3)</f>
        <v>2.4691358024691358E-3</v>
      </c>
      <c r="BZ33" s="24">
        <f>1-BY33-BX33</f>
        <v>0.90013768117754012</v>
      </c>
      <c r="CA33" s="24">
        <f>BZ33*BZ33*BZ33</f>
        <v>0.72933461644552033</v>
      </c>
      <c r="CB33" s="24"/>
      <c r="CC33" s="24"/>
      <c r="CD33" s="24">
        <f>SQRT(9*(B3+1))</f>
        <v>20.346989949375804</v>
      </c>
      <c r="CE33" s="24">
        <f>1.96/CD33</f>
        <v>9.6328744687866133E-2</v>
      </c>
      <c r="CF33" s="24">
        <f>1/(9*(B3+1))</f>
        <v>2.4154589371980675E-3</v>
      </c>
      <c r="CG33" s="24">
        <f>1-CF33+CE33</f>
        <v>1.0939132857506682</v>
      </c>
      <c r="CH33" s="24">
        <f>CG33*CG33*CG33</f>
        <v>1.3090272604719508</v>
      </c>
      <c r="CI33" s="24">
        <f>(B3+1)/C3</f>
        <v>1.1219512195121952</v>
      </c>
      <c r="CJ33" s="24"/>
    </row>
    <row r="34" spans="75:88" x14ac:dyDescent="0.25">
      <c r="BW34" s="24">
        <f>SQRT(9*B4)</f>
        <v>20.124611797498108</v>
      </c>
      <c r="BX34" s="24">
        <f t="shared" ref="BX34:BX42" si="1">1.96/BW34</f>
        <v>9.7393183019990837E-2</v>
      </c>
      <c r="BY34" s="24">
        <f>1/(9*B4)</f>
        <v>2.4691358024691358E-3</v>
      </c>
      <c r="BZ34" s="24">
        <f t="shared" ref="BZ34:BZ42" si="2">1-BY34-BX34</f>
        <v>0.90013768117754012</v>
      </c>
      <c r="CA34" s="24">
        <f t="shared" ref="CA34:CA42" si="3">BZ34*BZ34*BZ34</f>
        <v>0.72933461644552033</v>
      </c>
      <c r="CB34" s="24"/>
      <c r="CC34" s="24"/>
      <c r="CD34" s="24">
        <f>SQRT(9*(B4+1))</f>
        <v>20.346989949375804</v>
      </c>
      <c r="CE34" s="24">
        <f t="shared" ref="CE34:CE42" si="4">1.96/CD34</f>
        <v>9.6328744687866133E-2</v>
      </c>
      <c r="CF34" s="24">
        <f>1/(9*(B4+1))</f>
        <v>2.4154589371980675E-3</v>
      </c>
      <c r="CG34" s="24">
        <f t="shared" ref="CG34:CG42" si="5">1-CF34+CE34</f>
        <v>1.0939132857506682</v>
      </c>
      <c r="CH34" s="24">
        <f t="shared" ref="CH34:CH42" si="6">CG34*CG34*CG34</f>
        <v>1.3090272604719508</v>
      </c>
      <c r="CI34" s="24">
        <f>(B4+1)/C4</f>
        <v>1.1219512195121952</v>
      </c>
      <c r="CJ34" s="24"/>
    </row>
    <row r="35" spans="75:88" x14ac:dyDescent="0.25">
      <c r="BW35" s="24">
        <f>SQRT(9*B5)</f>
        <v>20.124611797498108</v>
      </c>
      <c r="BX35" s="24">
        <f t="shared" si="1"/>
        <v>9.7393183019990837E-2</v>
      </c>
      <c r="BY35" s="24">
        <f>1/(9*B5)</f>
        <v>2.4691358024691358E-3</v>
      </c>
      <c r="BZ35" s="24">
        <f t="shared" si="2"/>
        <v>0.90013768117754012</v>
      </c>
      <c r="CA35" s="24">
        <f t="shared" si="3"/>
        <v>0.72933461644552033</v>
      </c>
      <c r="CB35" s="24"/>
      <c r="CC35" s="24"/>
      <c r="CD35" s="24">
        <f>SQRT(9*(B5+1))</f>
        <v>20.346989949375804</v>
      </c>
      <c r="CE35" s="24">
        <f t="shared" si="4"/>
        <v>9.6328744687866133E-2</v>
      </c>
      <c r="CF35" s="24">
        <f>1/(9*(B5+1))</f>
        <v>2.4154589371980675E-3</v>
      </c>
      <c r="CG35" s="24">
        <f t="shared" si="5"/>
        <v>1.0939132857506682</v>
      </c>
      <c r="CH35" s="24">
        <f t="shared" si="6"/>
        <v>1.3090272604719508</v>
      </c>
      <c r="CI35" s="24">
        <f>(B5+1)/C5</f>
        <v>1.1219512195121952</v>
      </c>
      <c r="CJ35" s="24"/>
    </row>
    <row r="36" spans="75:88" x14ac:dyDescent="0.25">
      <c r="BW36" s="24">
        <f>SQRT(9*B6)</f>
        <v>17.748239349298849</v>
      </c>
      <c r="BX36" s="24">
        <f t="shared" si="1"/>
        <v>0.11043348928452616</v>
      </c>
      <c r="BY36" s="24">
        <f>1/(9*B6)</f>
        <v>3.1746031746031746E-3</v>
      </c>
      <c r="BZ36" s="24">
        <f t="shared" si="2"/>
        <v>0.88639190754087072</v>
      </c>
      <c r="CA36" s="24">
        <f t="shared" si="3"/>
        <v>0.6964298018623154</v>
      </c>
      <c r="CB36" s="24"/>
      <c r="CC36" s="24"/>
      <c r="CD36" s="24">
        <f>SQRT(9*(B6+1))</f>
        <v>18</v>
      </c>
      <c r="CE36" s="24">
        <f t="shared" si="4"/>
        <v>0.10888888888888888</v>
      </c>
      <c r="CF36" s="24">
        <f>1/(9*(B6+1))</f>
        <v>3.0864197530864196E-3</v>
      </c>
      <c r="CG36" s="24">
        <f t="shared" si="5"/>
        <v>1.1058024691358024</v>
      </c>
      <c r="CH36" s="24">
        <f t="shared" si="6"/>
        <v>1.3521742648628912</v>
      </c>
      <c r="CI36" s="24">
        <f>(B6+1)/C6</f>
        <v>0.87804878048780488</v>
      </c>
      <c r="CJ36" s="24"/>
    </row>
    <row r="37" spans="75:88" x14ac:dyDescent="0.25">
      <c r="BW37" s="24">
        <f>SQRT(9*B7)</f>
        <v>20.124611797498108</v>
      </c>
      <c r="BX37" s="24">
        <f t="shared" si="1"/>
        <v>9.7393183019990837E-2</v>
      </c>
      <c r="BY37" s="24">
        <f>1/(9*B7)</f>
        <v>2.4691358024691358E-3</v>
      </c>
      <c r="BZ37" s="24">
        <f t="shared" si="2"/>
        <v>0.90013768117754012</v>
      </c>
      <c r="CA37" s="24">
        <f t="shared" si="3"/>
        <v>0.72933461644552033</v>
      </c>
      <c r="CB37" s="24"/>
      <c r="CC37" s="24"/>
      <c r="CD37" s="24">
        <f>SQRT(9*(B7+1))</f>
        <v>20.346989949375804</v>
      </c>
      <c r="CE37" s="24">
        <f t="shared" si="4"/>
        <v>9.6328744687866133E-2</v>
      </c>
      <c r="CF37" s="24">
        <f>1/(9*(B7+1))</f>
        <v>2.4154589371980675E-3</v>
      </c>
      <c r="CG37" s="24">
        <f t="shared" si="5"/>
        <v>1.0939132857506682</v>
      </c>
      <c r="CH37" s="24">
        <f t="shared" si="6"/>
        <v>1.3090272604719508</v>
      </c>
      <c r="CI37" s="24">
        <f>(B7+1)/C7</f>
        <v>1.1219512195121952</v>
      </c>
      <c r="CJ37" s="24"/>
    </row>
    <row r="38" spans="75:88" x14ac:dyDescent="0.25">
      <c r="BW38" s="24" t="e">
        <f>SQRT(9*#REF!)</f>
        <v>#REF!</v>
      </c>
      <c r="BX38" s="24" t="e">
        <f t="shared" si="1"/>
        <v>#REF!</v>
      </c>
      <c r="BY38" s="24" t="e">
        <f>1/(9*#REF!)</f>
        <v>#REF!</v>
      </c>
      <c r="BZ38" s="24" t="e">
        <f t="shared" si="2"/>
        <v>#REF!</v>
      </c>
      <c r="CA38" s="24" t="e">
        <f t="shared" si="3"/>
        <v>#REF!</v>
      </c>
      <c r="CB38" s="24"/>
      <c r="CC38" s="24"/>
      <c r="CD38" s="24" t="e">
        <f>SQRT(9*(#REF!+1))</f>
        <v>#REF!</v>
      </c>
      <c r="CE38" s="24" t="e">
        <f t="shared" si="4"/>
        <v>#REF!</v>
      </c>
      <c r="CF38" s="24" t="e">
        <f>1/(9*(#REF!+1))</f>
        <v>#REF!</v>
      </c>
      <c r="CG38" s="24" t="e">
        <f t="shared" si="5"/>
        <v>#REF!</v>
      </c>
      <c r="CH38" s="24" t="e">
        <f t="shared" si="6"/>
        <v>#REF!</v>
      </c>
      <c r="CI38" s="24" t="e">
        <f>(#REF!+1)/#REF!</f>
        <v>#REF!</v>
      </c>
      <c r="CJ38" s="24"/>
    </row>
    <row r="39" spans="75:88" x14ac:dyDescent="0.25">
      <c r="BW39" s="24" t="e">
        <f>SQRT(9*#REF!)</f>
        <v>#REF!</v>
      </c>
      <c r="BX39" s="24" t="e">
        <f t="shared" si="1"/>
        <v>#REF!</v>
      </c>
      <c r="BY39" s="24" t="e">
        <f>1/(9*#REF!)</f>
        <v>#REF!</v>
      </c>
      <c r="BZ39" s="24" t="e">
        <f t="shared" si="2"/>
        <v>#REF!</v>
      </c>
      <c r="CA39" s="24" t="e">
        <f t="shared" si="3"/>
        <v>#REF!</v>
      </c>
      <c r="CB39" s="24"/>
      <c r="CC39" s="24"/>
      <c r="CD39" s="24" t="e">
        <f>SQRT(9*(#REF!+1))</f>
        <v>#REF!</v>
      </c>
      <c r="CE39" s="24" t="e">
        <f t="shared" si="4"/>
        <v>#REF!</v>
      </c>
      <c r="CF39" s="24" t="e">
        <f>1/(9*(#REF!+1))</f>
        <v>#REF!</v>
      </c>
      <c r="CG39" s="24" t="e">
        <f t="shared" si="5"/>
        <v>#REF!</v>
      </c>
      <c r="CH39" s="24" t="e">
        <f t="shared" si="6"/>
        <v>#REF!</v>
      </c>
      <c r="CI39" s="24" t="e">
        <f>(#REF!+1)/#REF!</f>
        <v>#REF!</v>
      </c>
      <c r="CJ39" s="24"/>
    </row>
    <row r="40" spans="75:88" x14ac:dyDescent="0.25">
      <c r="BW40" s="24" t="e">
        <f>SQRT(9*#REF!)</f>
        <v>#REF!</v>
      </c>
      <c r="BX40" s="24" t="e">
        <f t="shared" si="1"/>
        <v>#REF!</v>
      </c>
      <c r="BY40" s="24" t="e">
        <f>1/(9*#REF!)</f>
        <v>#REF!</v>
      </c>
      <c r="BZ40" s="24" t="e">
        <f t="shared" si="2"/>
        <v>#REF!</v>
      </c>
      <c r="CA40" s="24" t="e">
        <f t="shared" si="3"/>
        <v>#REF!</v>
      </c>
      <c r="CB40" s="24"/>
      <c r="CC40" s="24"/>
      <c r="CD40" s="24" t="e">
        <f>SQRT(9*(#REF!+1))</f>
        <v>#REF!</v>
      </c>
      <c r="CE40" s="24" t="e">
        <f t="shared" si="4"/>
        <v>#REF!</v>
      </c>
      <c r="CF40" s="24" t="e">
        <f>1/(9*(#REF!+1))</f>
        <v>#REF!</v>
      </c>
      <c r="CG40" s="24" t="e">
        <f t="shared" si="5"/>
        <v>#REF!</v>
      </c>
      <c r="CH40" s="24" t="e">
        <f t="shared" si="6"/>
        <v>#REF!</v>
      </c>
      <c r="CI40" s="24" t="e">
        <f>(#REF!+1)/#REF!</f>
        <v>#REF!</v>
      </c>
      <c r="CJ40" s="24"/>
    </row>
    <row r="41" spans="75:88" x14ac:dyDescent="0.25">
      <c r="BW41" s="24" t="e">
        <f>SQRT(9*#REF!)</f>
        <v>#REF!</v>
      </c>
      <c r="BX41" s="24" t="e">
        <f t="shared" si="1"/>
        <v>#REF!</v>
      </c>
      <c r="BY41" s="24" t="e">
        <f>1/(9*#REF!)</f>
        <v>#REF!</v>
      </c>
      <c r="BZ41" s="24" t="e">
        <f t="shared" si="2"/>
        <v>#REF!</v>
      </c>
      <c r="CA41" s="24" t="e">
        <f t="shared" si="3"/>
        <v>#REF!</v>
      </c>
      <c r="CB41" s="24"/>
      <c r="CC41" s="24"/>
      <c r="CD41" s="24" t="e">
        <f>SQRT(9*(#REF!+1))</f>
        <v>#REF!</v>
      </c>
      <c r="CE41" s="24" t="e">
        <f t="shared" si="4"/>
        <v>#REF!</v>
      </c>
      <c r="CF41" s="24" t="e">
        <f>1/(9*(#REF!+1))</f>
        <v>#REF!</v>
      </c>
      <c r="CG41" s="24" t="e">
        <f t="shared" si="5"/>
        <v>#REF!</v>
      </c>
      <c r="CH41" s="24" t="e">
        <f t="shared" si="6"/>
        <v>#REF!</v>
      </c>
      <c r="CI41" s="24" t="e">
        <f>(#REF!+1)/#REF!</f>
        <v>#REF!</v>
      </c>
      <c r="CJ41" s="24"/>
    </row>
    <row r="42" spans="75:88" x14ac:dyDescent="0.25">
      <c r="BW42" s="24" t="e">
        <f>SQRT(9*#REF!)</f>
        <v>#REF!</v>
      </c>
      <c r="BX42" s="24" t="e">
        <f t="shared" si="1"/>
        <v>#REF!</v>
      </c>
      <c r="BY42" s="24" t="e">
        <f>1/(9*#REF!)</f>
        <v>#REF!</v>
      </c>
      <c r="BZ42" s="24" t="e">
        <f t="shared" si="2"/>
        <v>#REF!</v>
      </c>
      <c r="CA42" s="24" t="e">
        <f t="shared" si="3"/>
        <v>#REF!</v>
      </c>
      <c r="CB42" s="24"/>
      <c r="CC42" s="24"/>
      <c r="CD42" s="24" t="e">
        <f>SQRT(9*(#REF!+1))</f>
        <v>#REF!</v>
      </c>
      <c r="CE42" s="24" t="e">
        <f t="shared" si="4"/>
        <v>#REF!</v>
      </c>
      <c r="CF42" s="24" t="e">
        <f>1/(9*(#REF!+1))</f>
        <v>#REF!</v>
      </c>
      <c r="CG42" s="24" t="e">
        <f t="shared" si="5"/>
        <v>#REF!</v>
      </c>
      <c r="CH42" s="24" t="e">
        <f t="shared" si="6"/>
        <v>#REF!</v>
      </c>
      <c r="CI42" s="24" t="e">
        <f>(#REF!+1)/#REF!</f>
        <v>#REF!</v>
      </c>
      <c r="CJ42" s="24"/>
    </row>
    <row r="43" spans="75:88" x14ac:dyDescent="0.25">
      <c r="BW43" s="24"/>
      <c r="BX43" s="24"/>
      <c r="BY43" s="24"/>
      <c r="BZ43" s="24"/>
      <c r="CA43" s="24"/>
      <c r="CB43" s="24"/>
      <c r="CC43" s="24"/>
      <c r="CD43" s="24"/>
      <c r="CE43" s="24"/>
      <c r="CF43" s="24"/>
      <c r="CG43" s="24"/>
      <c r="CH43" s="24"/>
      <c r="CI43" s="24"/>
      <c r="CJ43" s="24"/>
    </row>
  </sheetData>
  <sheetProtection algorithmName="SHA-512" hashValue="QZiPwfIfd3P+CQLxAxUS3dSbJRAu5aNEzmGkddgCY/U8VA2KDvX3n1k1JBsoKMEyQI9oU3vxpES/sd6TNZIBBg==" saltValue="/Y+ZMFsgTaXRTvKmbu70RQ==" spinCount="100000" sheet="1" objects="1" scenarios="1"/>
  <mergeCells count="6">
    <mergeCell ref="F1:F2"/>
    <mergeCell ref="A1:A2"/>
    <mergeCell ref="B1:B2"/>
    <mergeCell ref="C1:C2"/>
    <mergeCell ref="D1:D2"/>
    <mergeCell ref="E1:E2"/>
  </mergeCells>
  <dataValidations count="3">
    <dataValidation allowBlank="1" showInputMessage="1" showErrorMessage="1" prompt="LÜTFEN İLGİLİ YILI RAKAMLA YAZINIZ." sqref="A3:A7"/>
    <dataValidation type="whole" allowBlank="1" showInputMessage="1" showErrorMessage="1" errorTitle="VERİ GİRİŞ HATASI" error="LÜTFEN 0 İLE 1000000 ARASINDA BİR TAM SAYI GİRİNİZ!" prompt="LÜTFEN İLGİLİ YILA AİT GÖZLENEN ARAÇ GÜNÜ SAYISINI RAKAMLA YAZINIZ." sqref="B3:B7">
      <formula1>0</formula1>
      <formula2>1000000</formula2>
    </dataValidation>
    <dataValidation type="decimal" allowBlank="1" showInputMessage="1" showErrorMessage="1" errorTitle="VERİ GİRİŞ HATASI" error="ÖNGÖRÜLEN ENFEKSİYON SAYISI 1.0'DAN KÜÇÜK OLMAMALIDIR!" prompt="LÜTFEN İLGİLİ YILA AİT ÖNGÖRÜLEN ARAÇ GÜNÜ SAYISINI RAKAMLA YAZINIZ." sqref="C3:C7">
      <formula1>1</formula1>
      <formula2>1000000</formula2>
    </dataValidation>
  </dataValidations>
  <pageMargins left="0.7" right="0.7" top="0.75" bottom="0.75" header="0.3" footer="0.3"/>
  <pageSetup paperSize="9" orientation="portrait" horizontalDpi="30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10</vt:i4>
      </vt:variant>
    </vt:vector>
  </HeadingPairs>
  <TitlesOfParts>
    <vt:vector size="10" baseType="lpstr">
      <vt:lpstr>BAŞLANGIÇ SAYFASI</vt:lpstr>
      <vt:lpstr>VENTİLATÖR</vt:lpstr>
      <vt:lpstr>YD VENTİLATÖR</vt:lpstr>
      <vt:lpstr>SANTRAL KATETER</vt:lpstr>
      <vt:lpstr>YD SANTRAL KATETER</vt:lpstr>
      <vt:lpstr>ÜRİNER KATETER</vt:lpstr>
      <vt:lpstr>KURUMSAL</vt:lpstr>
      <vt:lpstr>DÖNEM GRAFİK</vt:lpstr>
      <vt:lpstr>YIL GRAFİK</vt:lpstr>
      <vt:lpstr>YBÜ GRAFİK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ESEN BATIR</cp:lastModifiedBy>
  <dcterms:created xsi:type="dcterms:W3CDTF">2017-12-01T19:12:46Z</dcterms:created>
  <dcterms:modified xsi:type="dcterms:W3CDTF">2022-09-05T07:03:49Z</dcterms:modified>
</cp:coreProperties>
</file>